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60" yWindow="60" windowWidth="20610" windowHeight="11640" tabRatio="10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Лист1!$B$2:$O$711</definedName>
  </definedNames>
  <calcPr calcId="125725"/>
</workbook>
</file>

<file path=xl/calcChain.xml><?xml version="1.0" encoding="utf-8"?>
<calcChain xmlns="http://schemas.openxmlformats.org/spreadsheetml/2006/main">
  <c r="N162" i="1"/>
  <c r="O691"/>
  <c r="N694"/>
  <c r="N333"/>
  <c r="N227" l="1"/>
  <c r="O569"/>
  <c r="O568"/>
  <c r="O567"/>
  <c r="O566"/>
  <c r="O565"/>
  <c r="O564"/>
  <c r="O563"/>
  <c r="O562"/>
  <c r="O557"/>
  <c r="O487"/>
  <c r="O400"/>
  <c r="O269"/>
  <c r="O221"/>
  <c r="N308"/>
  <c r="N304"/>
  <c r="O10"/>
  <c r="E541" l="1"/>
  <c r="H409"/>
  <c r="J315"/>
  <c r="E242"/>
  <c r="J180"/>
  <c r="D656"/>
  <c r="D654"/>
  <c r="D652"/>
  <c r="D140"/>
  <c r="D504" l="1"/>
  <c r="D503"/>
  <c r="D502"/>
  <c r="D501"/>
  <c r="D500"/>
  <c r="D499"/>
  <c r="D498"/>
  <c r="D496"/>
  <c r="D495"/>
  <c r="D494"/>
  <c r="D493"/>
  <c r="D492"/>
  <c r="D490"/>
  <c r="D489"/>
  <c r="E18" l="1"/>
  <c r="D616"/>
  <c r="D615"/>
  <c r="D612"/>
  <c r="D611"/>
  <c r="N696" l="1"/>
  <c r="N685"/>
  <c r="N681"/>
  <c r="D700"/>
  <c r="D699"/>
  <c r="D698"/>
  <c r="D696"/>
  <c r="D695"/>
  <c r="D694"/>
  <c r="D692"/>
  <c r="D691"/>
  <c r="D690"/>
  <c r="D687"/>
  <c r="D686"/>
  <c r="D685"/>
  <c r="D684"/>
  <c r="D683"/>
  <c r="D681"/>
  <c r="D680"/>
  <c r="D679"/>
  <c r="D677"/>
  <c r="D676"/>
  <c r="D675"/>
  <c r="O675"/>
  <c r="D673"/>
  <c r="D672"/>
  <c r="D671"/>
  <c r="D670"/>
  <c r="D668"/>
  <c r="D667"/>
  <c r="D666"/>
  <c r="D664"/>
  <c r="D663"/>
  <c r="D662"/>
  <c r="D661"/>
  <c r="D660"/>
  <c r="D650"/>
  <c r="D658"/>
  <c r="D657"/>
  <c r="O657" s="1"/>
  <c r="D655"/>
  <c r="D653"/>
  <c r="D651"/>
  <c r="D645"/>
  <c r="D644"/>
  <c r="D643"/>
  <c r="D642"/>
  <c r="D640"/>
  <c r="D639"/>
  <c r="D638"/>
  <c r="D636"/>
  <c r="D635"/>
  <c r="D634"/>
  <c r="D633"/>
  <c r="D632"/>
  <c r="D629"/>
  <c r="D628"/>
  <c r="D627"/>
  <c r="D626"/>
  <c r="D624"/>
  <c r="D623"/>
  <c r="D621"/>
  <c r="D620"/>
  <c r="D619"/>
  <c r="D618"/>
  <c r="N620" s="1"/>
  <c r="D613"/>
  <c r="D610"/>
  <c r="D609"/>
  <c r="D608"/>
  <c r="D607"/>
  <c r="D606"/>
  <c r="D604"/>
  <c r="D603"/>
  <c r="D602"/>
  <c r="D599"/>
  <c r="D598"/>
  <c r="O626"/>
  <c r="D596"/>
  <c r="D595"/>
  <c r="D594"/>
  <c r="D593"/>
  <c r="D592"/>
  <c r="D591"/>
  <c r="D590"/>
  <c r="D589"/>
  <c r="D588"/>
  <c r="D587"/>
  <c r="D586"/>
  <c r="D584"/>
  <c r="D583"/>
  <c r="D581"/>
  <c r="D580"/>
  <c r="D579"/>
  <c r="D577"/>
  <c r="D576"/>
  <c r="D575"/>
  <c r="D574"/>
  <c r="D573"/>
  <c r="D572"/>
  <c r="D571"/>
  <c r="D569"/>
  <c r="D568"/>
  <c r="D567"/>
  <c r="D566"/>
  <c r="D565"/>
  <c r="D564"/>
  <c r="D563"/>
  <c r="D562"/>
  <c r="D561"/>
  <c r="D560"/>
  <c r="D558"/>
  <c r="D557"/>
  <c r="D556"/>
  <c r="D555"/>
  <c r="D554"/>
  <c r="D553"/>
  <c r="D550"/>
  <c r="D549"/>
  <c r="D548"/>
  <c r="D547"/>
  <c r="D546"/>
  <c r="M545"/>
  <c r="L545"/>
  <c r="K545"/>
  <c r="J545"/>
  <c r="I545"/>
  <c r="H545"/>
  <c r="G545"/>
  <c r="F545"/>
  <c r="E545"/>
  <c r="D544"/>
  <c r="D543"/>
  <c r="M542"/>
  <c r="L542"/>
  <c r="K542"/>
  <c r="J542"/>
  <c r="I542"/>
  <c r="H542"/>
  <c r="G542"/>
  <c r="F542"/>
  <c r="E542"/>
  <c r="D538"/>
  <c r="D540"/>
  <c r="D539"/>
  <c r="D537"/>
  <c r="D536"/>
  <c r="D535"/>
  <c r="D534"/>
  <c r="D532"/>
  <c r="D531"/>
  <c r="D530"/>
  <c r="D529"/>
  <c r="D528"/>
  <c r="D526"/>
  <c r="D525"/>
  <c r="D486"/>
  <c r="D485"/>
  <c r="D484"/>
  <c r="D483"/>
  <c r="D482"/>
  <c r="D481"/>
  <c r="D480"/>
  <c r="D478"/>
  <c r="D477"/>
  <c r="D476"/>
  <c r="D475"/>
  <c r="D474"/>
  <c r="D472"/>
  <c r="D471"/>
  <c r="D468"/>
  <c r="D467"/>
  <c r="D466"/>
  <c r="D465"/>
  <c r="D464"/>
  <c r="D463"/>
  <c r="D462"/>
  <c r="D460"/>
  <c r="D459"/>
  <c r="D458"/>
  <c r="D457"/>
  <c r="D456"/>
  <c r="D454"/>
  <c r="D453"/>
  <c r="D449"/>
  <c r="N449" s="1"/>
  <c r="D448"/>
  <c r="N448" s="1"/>
  <c r="D447"/>
  <c r="D446"/>
  <c r="D444"/>
  <c r="N444" s="1"/>
  <c r="D443"/>
  <c r="N443" s="1"/>
  <c r="D442"/>
  <c r="D441"/>
  <c r="D440"/>
  <c r="D439"/>
  <c r="N439" s="1"/>
  <c r="D437"/>
  <c r="N437" s="1"/>
  <c r="D436"/>
  <c r="N436" s="1"/>
  <c r="D435"/>
  <c r="N435" s="1"/>
  <c r="D434"/>
  <c r="N434" s="1"/>
  <c r="D433"/>
  <c r="N433" s="1"/>
  <c r="D431"/>
  <c r="D430"/>
  <c r="D429"/>
  <c r="D428"/>
  <c r="D427"/>
  <c r="D424"/>
  <c r="D423"/>
  <c r="D422"/>
  <c r="D421"/>
  <c r="D420"/>
  <c r="D419"/>
  <c r="D418"/>
  <c r="D417"/>
  <c r="D415"/>
  <c r="D414"/>
  <c r="D413"/>
  <c r="D412"/>
  <c r="D411"/>
  <c r="D410"/>
  <c r="D407"/>
  <c r="D406"/>
  <c r="D405"/>
  <c r="D404"/>
  <c r="D402"/>
  <c r="D401"/>
  <c r="D400"/>
  <c r="D399"/>
  <c r="N394"/>
  <c r="N391"/>
  <c r="D394"/>
  <c r="O394" s="1"/>
  <c r="D393"/>
  <c r="O393" s="1"/>
  <c r="M392"/>
  <c r="G392"/>
  <c r="F392"/>
  <c r="D391"/>
  <c r="O391" s="1"/>
  <c r="D390"/>
  <c r="M389"/>
  <c r="G389"/>
  <c r="F389"/>
  <c r="D387"/>
  <c r="O387" s="1"/>
  <c r="D386"/>
  <c r="D385"/>
  <c r="D383"/>
  <c r="O383" s="1"/>
  <c r="D377"/>
  <c r="D376"/>
  <c r="D375"/>
  <c r="N376"/>
  <c r="D373"/>
  <c r="O373" s="1"/>
  <c r="D372"/>
  <c r="D370"/>
  <c r="D369"/>
  <c r="D368"/>
  <c r="D367"/>
  <c r="D366"/>
  <c r="D364"/>
  <c r="D363"/>
  <c r="D362"/>
  <c r="D361"/>
  <c r="D360"/>
  <c r="D359"/>
  <c r="D358"/>
  <c r="D356"/>
  <c r="D355"/>
  <c r="D354"/>
  <c r="D352"/>
  <c r="O352" s="1"/>
  <c r="D351"/>
  <c r="D350"/>
  <c r="D349"/>
  <c r="D348"/>
  <c r="D347"/>
  <c r="D346"/>
  <c r="D345"/>
  <c r="D344"/>
  <c r="O344" s="1"/>
  <c r="D342"/>
  <c r="D341"/>
  <c r="D340"/>
  <c r="D339"/>
  <c r="D338"/>
  <c r="D337"/>
  <c r="D336"/>
  <c r="D335"/>
  <c r="D334"/>
  <c r="D332"/>
  <c r="O332" s="1"/>
  <c r="D331"/>
  <c r="D330"/>
  <c r="D329"/>
  <c r="D328"/>
  <c r="D326"/>
  <c r="D325"/>
  <c r="D324"/>
  <c r="D323"/>
  <c r="D320"/>
  <c r="D319"/>
  <c r="D317"/>
  <c r="D310"/>
  <c r="D309"/>
  <c r="D307"/>
  <c r="D306"/>
  <c r="D305"/>
  <c r="D302"/>
  <c r="D301"/>
  <c r="D300"/>
  <c r="D299"/>
  <c r="D298"/>
  <c r="D297"/>
  <c r="D295"/>
  <c r="D294"/>
  <c r="D292"/>
  <c r="D291"/>
  <c r="O291" s="1"/>
  <c r="D290"/>
  <c r="O290" s="1"/>
  <c r="D289"/>
  <c r="D288"/>
  <c r="D287"/>
  <c r="D286"/>
  <c r="D285"/>
  <c r="D283"/>
  <c r="O283" s="1"/>
  <c r="D282"/>
  <c r="O282" s="1"/>
  <c r="D281"/>
  <c r="D280"/>
  <c r="D279"/>
  <c r="D278"/>
  <c r="D277"/>
  <c r="D275"/>
  <c r="D273"/>
  <c r="M267"/>
  <c r="L267"/>
  <c r="K267"/>
  <c r="J267"/>
  <c r="I267"/>
  <c r="H267"/>
  <c r="E267"/>
  <c r="D268"/>
  <c r="O268" s="1"/>
  <c r="D272"/>
  <c r="D271"/>
  <c r="O271" s="1"/>
  <c r="D270"/>
  <c r="O270" s="1"/>
  <c r="D269"/>
  <c r="D266"/>
  <c r="O266" s="1"/>
  <c r="D265"/>
  <c r="D264"/>
  <c r="D243"/>
  <c r="D542" l="1"/>
  <c r="N589"/>
  <c r="D545"/>
  <c r="N588"/>
  <c r="N590"/>
  <c r="N587"/>
  <c r="N594"/>
  <c r="N595"/>
  <c r="N592"/>
  <c r="N593"/>
  <c r="N393"/>
  <c r="D392"/>
  <c r="D389"/>
  <c r="O300"/>
  <c r="D261"/>
  <c r="D262"/>
  <c r="D260"/>
  <c r="D259"/>
  <c r="D258"/>
  <c r="D257"/>
  <c r="D256"/>
  <c r="D255"/>
  <c r="O255" s="1"/>
  <c r="D254"/>
  <c r="D253"/>
  <c r="D252"/>
  <c r="D251"/>
  <c r="D250"/>
  <c r="D248"/>
  <c r="O248" s="1"/>
  <c r="D247"/>
  <c r="D246"/>
  <c r="D245"/>
  <c r="D244"/>
  <c r="D241"/>
  <c r="D240"/>
  <c r="D239"/>
  <c r="D237"/>
  <c r="D236"/>
  <c r="D235"/>
  <c r="I234"/>
  <c r="D233"/>
  <c r="D232"/>
  <c r="J234"/>
  <c r="D230"/>
  <c r="O230" s="1"/>
  <c r="D229"/>
  <c r="D228"/>
  <c r="O228" s="1"/>
  <c r="D226"/>
  <c r="D224"/>
  <c r="O224" s="1"/>
  <c r="D223"/>
  <c r="D222"/>
  <c r="D220"/>
  <c r="D219"/>
  <c r="D218"/>
  <c r="D217"/>
  <c r="D194"/>
  <c r="O194" s="1"/>
  <c r="D192"/>
  <c r="O192" s="1"/>
  <c r="D198"/>
  <c r="O198" s="1"/>
  <c r="D197"/>
  <c r="D196"/>
  <c r="O196" s="1"/>
  <c r="D195"/>
  <c r="D193"/>
  <c r="N194"/>
  <c r="N192"/>
  <c r="D200"/>
  <c r="O200" s="1"/>
  <c r="D199"/>
  <c r="D213"/>
  <c r="D212"/>
  <c r="D211"/>
  <c r="D210"/>
  <c r="D209"/>
  <c r="D208"/>
  <c r="D207"/>
  <c r="D206"/>
  <c r="D205"/>
  <c r="D204"/>
  <c r="D203"/>
  <c r="D202"/>
  <c r="D201"/>
  <c r="D191"/>
  <c r="D190"/>
  <c r="D189"/>
  <c r="G188"/>
  <c r="F188"/>
  <c r="D177"/>
  <c r="D174"/>
  <c r="D173"/>
  <c r="D172"/>
  <c r="D171"/>
  <c r="D170"/>
  <c r="D169"/>
  <c r="D168"/>
  <c r="D165"/>
  <c r="N177"/>
  <c r="D187"/>
  <c r="O187" s="1"/>
  <c r="D186"/>
  <c r="O186" s="1"/>
  <c r="D185"/>
  <c r="O185" s="1"/>
  <c r="D184"/>
  <c r="O184" s="1"/>
  <c r="D182"/>
  <c r="D181"/>
  <c r="O181" s="1"/>
  <c r="D179"/>
  <c r="D178"/>
  <c r="D176"/>
  <c r="D175"/>
  <c r="D167"/>
  <c r="D166"/>
  <c r="O166" s="1"/>
  <c r="D164"/>
  <c r="D163"/>
  <c r="D162"/>
  <c r="O162" s="1"/>
  <c r="D161"/>
  <c r="D160"/>
  <c r="D159"/>
  <c r="M153"/>
  <c r="L153"/>
  <c r="K153"/>
  <c r="J153"/>
  <c r="I153"/>
  <c r="H153"/>
  <c r="G153"/>
  <c r="F153"/>
  <c r="E153"/>
  <c r="D157"/>
  <c r="O157" s="1"/>
  <c r="D156"/>
  <c r="D155"/>
  <c r="D154"/>
  <c r="O150"/>
  <c r="O148"/>
  <c r="M146"/>
  <c r="L146"/>
  <c r="K146"/>
  <c r="J146"/>
  <c r="I146"/>
  <c r="H146"/>
  <c r="G146"/>
  <c r="F146"/>
  <c r="E146"/>
  <c r="D152"/>
  <c r="D151"/>
  <c r="O151" s="1"/>
  <c r="D150"/>
  <c r="D149"/>
  <c r="D148"/>
  <c r="D147"/>
  <c r="O147" s="1"/>
  <c r="D145"/>
  <c r="D144"/>
  <c r="D130"/>
  <c r="D129"/>
  <c r="N155" l="1"/>
  <c r="N626"/>
  <c r="N628"/>
  <c r="N258"/>
  <c r="N261"/>
  <c r="N257"/>
  <c r="N259"/>
  <c r="N260"/>
  <c r="N262"/>
  <c r="O262"/>
  <c r="D188"/>
  <c r="N174"/>
  <c r="N196"/>
  <c r="N197"/>
  <c r="N198"/>
  <c r="N195"/>
  <c r="N193"/>
  <c r="D153"/>
  <c r="N153" s="1"/>
  <c r="N168"/>
  <c r="N170"/>
  <c r="N169"/>
  <c r="N173"/>
  <c r="N172"/>
  <c r="N171"/>
  <c r="N167"/>
  <c r="N165"/>
  <c r="N166"/>
  <c r="N159"/>
  <c r="N182"/>
  <c r="O182"/>
  <c r="N156"/>
  <c r="O145"/>
  <c r="N154"/>
  <c r="D146"/>
  <c r="D138" l="1"/>
  <c r="D142"/>
  <c r="D141"/>
  <c r="D139"/>
  <c r="D137"/>
  <c r="D134"/>
  <c r="D133"/>
  <c r="D132"/>
  <c r="D131"/>
  <c r="D127"/>
  <c r="N137" l="1"/>
  <c r="N139"/>
  <c r="N138"/>
  <c r="N118"/>
  <c r="D124"/>
  <c r="D123"/>
  <c r="D122"/>
  <c r="D121"/>
  <c r="D101"/>
  <c r="D95"/>
  <c r="N79"/>
  <c r="D89"/>
  <c r="O89" s="1"/>
  <c r="D88"/>
  <c r="D87"/>
  <c r="D86"/>
  <c r="D85"/>
  <c r="D84"/>
  <c r="D83"/>
  <c r="O88"/>
  <c r="O87"/>
  <c r="O86"/>
  <c r="O85"/>
  <c r="O84"/>
  <c r="O83"/>
  <c r="O82"/>
  <c r="D77"/>
  <c r="O77" s="1"/>
  <c r="D82"/>
  <c r="D80"/>
  <c r="O80" s="1"/>
  <c r="D79"/>
  <c r="O79" s="1"/>
  <c r="D71"/>
  <c r="D70"/>
  <c r="D69"/>
  <c r="D67"/>
  <c r="D66"/>
  <c r="D64"/>
  <c r="D63"/>
  <c r="D62"/>
  <c r="D59"/>
  <c r="D58"/>
  <c r="D57"/>
  <c r="D56"/>
  <c r="D55"/>
  <c r="D54"/>
  <c r="O52"/>
  <c r="D52"/>
  <c r="D51"/>
  <c r="D50"/>
  <c r="D49"/>
  <c r="D47"/>
  <c r="D46"/>
  <c r="D45"/>
  <c r="D44"/>
  <c r="D43"/>
  <c r="O38"/>
  <c r="O37"/>
  <c r="O39"/>
  <c r="O40"/>
  <c r="O33"/>
  <c r="D40" l="1"/>
  <c r="D39"/>
  <c r="D38"/>
  <c r="D37"/>
  <c r="D35"/>
  <c r="D34"/>
  <c r="D33"/>
  <c r="D32"/>
  <c r="D31"/>
  <c r="D30"/>
  <c r="D29"/>
  <c r="D28"/>
  <c r="D26"/>
  <c r="D25"/>
  <c r="D24"/>
  <c r="D23"/>
  <c r="D22"/>
  <c r="D21"/>
  <c r="D20"/>
  <c r="D19"/>
  <c r="D16" l="1"/>
  <c r="D15"/>
  <c r="D14"/>
  <c r="D12"/>
  <c r="D11"/>
  <c r="D10"/>
  <c r="N77" l="1"/>
  <c r="O152"/>
  <c r="N683" l="1"/>
  <c r="N679"/>
  <c r="O598" l="1"/>
  <c r="O423"/>
  <c r="N268" l="1"/>
  <c r="N224"/>
  <c r="O700" l="1"/>
  <c r="O698"/>
  <c r="H491"/>
  <c r="O175"/>
  <c r="O131"/>
  <c r="O132"/>
  <c r="O130"/>
  <c r="G647" l="1"/>
  <c r="L570"/>
  <c r="K570"/>
  <c r="I570"/>
  <c r="H570"/>
  <c r="G570"/>
  <c r="F570"/>
  <c r="E570"/>
  <c r="J570"/>
  <c r="M570"/>
  <c r="H455"/>
  <c r="D570" l="1"/>
  <c r="O576"/>
  <c r="O30" l="1"/>
  <c r="O35"/>
  <c r="O34"/>
  <c r="O32"/>
  <c r="O31"/>
  <c r="O21"/>
  <c r="O20"/>
  <c r="O677" l="1"/>
  <c r="D678" l="1"/>
  <c r="D697"/>
  <c r="D682"/>
  <c r="K238"/>
  <c r="E238"/>
  <c r="D238" l="1"/>
  <c r="M234"/>
  <c r="L234"/>
  <c r="K234"/>
  <c r="H234"/>
  <c r="G234"/>
  <c r="F234"/>
  <c r="E234"/>
  <c r="D234" l="1"/>
  <c r="K231"/>
  <c r="E231"/>
  <c r="J365"/>
  <c r="M365"/>
  <c r="L365"/>
  <c r="K365"/>
  <c r="I365"/>
  <c r="H365"/>
  <c r="G365"/>
  <c r="F365"/>
  <c r="E365"/>
  <c r="J353"/>
  <c r="M353"/>
  <c r="L353"/>
  <c r="K353"/>
  <c r="I353"/>
  <c r="H353"/>
  <c r="G353"/>
  <c r="F353"/>
  <c r="E353"/>
  <c r="D353" l="1"/>
  <c r="D365"/>
  <c r="O231"/>
  <c r="D231"/>
  <c r="N238" s="1"/>
  <c r="J631"/>
  <c r="M631"/>
  <c r="L631"/>
  <c r="K631"/>
  <c r="I631"/>
  <c r="H631"/>
  <c r="G631"/>
  <c r="F631"/>
  <c r="E631"/>
  <c r="J641"/>
  <c r="M641"/>
  <c r="L641"/>
  <c r="K641"/>
  <c r="I641"/>
  <c r="H641"/>
  <c r="G641"/>
  <c r="F641"/>
  <c r="E641"/>
  <c r="H578"/>
  <c r="D631" l="1"/>
  <c r="D641"/>
  <c r="N638"/>
  <c r="N640"/>
  <c r="H622" l="1"/>
  <c r="H559"/>
  <c r="H552"/>
  <c r="J533"/>
  <c r="M533"/>
  <c r="L533"/>
  <c r="K533"/>
  <c r="I533"/>
  <c r="H533"/>
  <c r="G533"/>
  <c r="F533"/>
  <c r="E533"/>
  <c r="J527"/>
  <c r="M527"/>
  <c r="L527"/>
  <c r="K527"/>
  <c r="I527"/>
  <c r="H527"/>
  <c r="G527"/>
  <c r="F527"/>
  <c r="E527"/>
  <c r="J524"/>
  <c r="M524"/>
  <c r="L524"/>
  <c r="K524"/>
  <c r="I524"/>
  <c r="H524"/>
  <c r="G524"/>
  <c r="F524"/>
  <c r="E524"/>
  <c r="H523"/>
  <c r="D515"/>
  <c r="D509"/>
  <c r="D506"/>
  <c r="J497"/>
  <c r="M497"/>
  <c r="L497"/>
  <c r="K497"/>
  <c r="I497"/>
  <c r="H497"/>
  <c r="G497"/>
  <c r="F497"/>
  <c r="E497"/>
  <c r="H488"/>
  <c r="K479"/>
  <c r="E479"/>
  <c r="M461"/>
  <c r="L461"/>
  <c r="K461"/>
  <c r="I461"/>
  <c r="H461"/>
  <c r="F461"/>
  <c r="E461"/>
  <c r="J461"/>
  <c r="H452"/>
  <c r="H451"/>
  <c r="H649"/>
  <c r="O645"/>
  <c r="O644"/>
  <c r="O643"/>
  <c r="O642"/>
  <c r="O628"/>
  <c r="H432"/>
  <c r="H541" s="1"/>
  <c r="H426"/>
  <c r="H416"/>
  <c r="H614" s="1"/>
  <c r="D497" l="1"/>
  <c r="D533"/>
  <c r="D461"/>
  <c r="D479"/>
  <c r="D527"/>
  <c r="D524"/>
  <c r="N424"/>
  <c r="N212"/>
  <c r="N205"/>
  <c r="N209"/>
  <c r="N213"/>
  <c r="N202"/>
  <c r="N206"/>
  <c r="N210"/>
  <c r="N203"/>
  <c r="N207"/>
  <c r="N211"/>
  <c r="N204"/>
  <c r="N208"/>
  <c r="N442"/>
  <c r="H397" l="1"/>
  <c r="H384" l="1"/>
  <c r="H343"/>
  <c r="O363"/>
  <c r="O362"/>
  <c r="J357"/>
  <c r="M357"/>
  <c r="L357"/>
  <c r="K357"/>
  <c r="I357"/>
  <c r="H357"/>
  <c r="G357"/>
  <c r="F357"/>
  <c r="E357"/>
  <c r="D357" l="1"/>
  <c r="H398"/>
  <c r="H487"/>
  <c r="H371"/>
  <c r="H333"/>
  <c r="H396" s="1"/>
  <c r="H327"/>
  <c r="H322"/>
  <c r="M315"/>
  <c r="M318" s="1"/>
  <c r="L315"/>
  <c r="L318" s="1"/>
  <c r="I315"/>
  <c r="I318" s="1"/>
  <c r="H315"/>
  <c r="H318" s="1"/>
  <c r="G315"/>
  <c r="G318" s="1"/>
  <c r="F315"/>
  <c r="F318" s="1"/>
  <c r="J318"/>
  <c r="K304"/>
  <c r="K315" s="1"/>
  <c r="K318" s="1"/>
  <c r="J296"/>
  <c r="J303" s="1"/>
  <c r="M296"/>
  <c r="M303" s="1"/>
  <c r="L296"/>
  <c r="L303" s="1"/>
  <c r="K296"/>
  <c r="K303" s="1"/>
  <c r="I296"/>
  <c r="I303" s="1"/>
  <c r="H296"/>
  <c r="H303" s="1"/>
  <c r="G296"/>
  <c r="G303" s="1"/>
  <c r="F296"/>
  <c r="F303" s="1"/>
  <c r="E296"/>
  <c r="J284"/>
  <c r="M284"/>
  <c r="L284"/>
  <c r="K284"/>
  <c r="I284"/>
  <c r="H284"/>
  <c r="G284"/>
  <c r="F284"/>
  <c r="E284"/>
  <c r="J276"/>
  <c r="M276"/>
  <c r="L276"/>
  <c r="K276"/>
  <c r="I276"/>
  <c r="H276"/>
  <c r="G276"/>
  <c r="F276"/>
  <c r="E276"/>
  <c r="H227"/>
  <c r="G227"/>
  <c r="E304"/>
  <c r="D276" l="1"/>
  <c r="D284"/>
  <c r="D304"/>
  <c r="D296"/>
  <c r="E303"/>
  <c r="D303" s="1"/>
  <c r="H293"/>
  <c r="I293"/>
  <c r="O297" l="1"/>
  <c r="O298"/>
  <c r="O299"/>
  <c r="O301"/>
  <c r="J242"/>
  <c r="M242"/>
  <c r="L242"/>
  <c r="K242"/>
  <c r="I242"/>
  <c r="H242"/>
  <c r="G242"/>
  <c r="F242"/>
  <c r="H263"/>
  <c r="H249"/>
  <c r="H225"/>
  <c r="G183"/>
  <c r="N187"/>
  <c r="H180"/>
  <c r="I180"/>
  <c r="O159"/>
  <c r="D242" l="1"/>
  <c r="N183"/>
  <c r="D183"/>
  <c r="J126" l="1"/>
  <c r="M126"/>
  <c r="L126"/>
  <c r="K126"/>
  <c r="I126"/>
  <c r="H126"/>
  <c r="G126"/>
  <c r="F126"/>
  <c r="E126"/>
  <c r="O119"/>
  <c r="D126" l="1"/>
  <c r="O118"/>
  <c r="O117"/>
  <c r="O113"/>
  <c r="O112"/>
  <c r="O111"/>
  <c r="O110"/>
  <c r="O109"/>
  <c r="O108"/>
  <c r="O107"/>
  <c r="O106"/>
  <c r="O105"/>
  <c r="O104"/>
  <c r="O103"/>
  <c r="O100"/>
  <c r="O99"/>
  <c r="O98"/>
  <c r="O97"/>
  <c r="O96"/>
  <c r="O116"/>
  <c r="O115"/>
  <c r="O114"/>
  <c r="D102"/>
  <c r="O102" s="1"/>
  <c r="D94"/>
  <c r="O94" s="1"/>
  <c r="O101"/>
  <c r="O95" l="1"/>
  <c r="D93"/>
  <c r="D90" s="1"/>
  <c r="O91"/>
  <c r="N92"/>
  <c r="J53"/>
  <c r="K53"/>
  <c r="I53"/>
  <c r="H53"/>
  <c r="G53"/>
  <c r="F53"/>
  <c r="E53"/>
  <c r="H61"/>
  <c r="O47"/>
  <c r="O43"/>
  <c r="O93" l="1"/>
  <c r="E42"/>
  <c r="D42" s="1"/>
  <c r="H27" l="1"/>
  <c r="O23" l="1"/>
  <c r="N86" l="1"/>
  <c r="N87"/>
  <c r="N89"/>
  <c r="N39"/>
  <c r="H18" l="1"/>
  <c r="N377" l="1"/>
  <c r="N342"/>
  <c r="N164"/>
  <c r="N133"/>
  <c r="N52"/>
  <c r="J397" l="1"/>
  <c r="L397"/>
  <c r="K397"/>
  <c r="I397"/>
  <c r="E397"/>
  <c r="D693" l="1"/>
  <c r="K221" l="1"/>
  <c r="E48" l="1"/>
  <c r="N48" l="1"/>
  <c r="D48"/>
  <c r="O401" l="1"/>
  <c r="J523" l="1"/>
  <c r="M523"/>
  <c r="L523"/>
  <c r="K523"/>
  <c r="I523"/>
  <c r="F523"/>
  <c r="E523"/>
  <c r="G267"/>
  <c r="F267"/>
  <c r="O664"/>
  <c r="D523" l="1"/>
  <c r="N524" s="1"/>
  <c r="D267"/>
  <c r="N690"/>
  <c r="N132"/>
  <c r="N131"/>
  <c r="N130"/>
  <c r="N129"/>
  <c r="J622"/>
  <c r="M622"/>
  <c r="L622"/>
  <c r="K622"/>
  <c r="I622"/>
  <c r="G622"/>
  <c r="F622"/>
  <c r="E622"/>
  <c r="D622" l="1"/>
  <c r="F225"/>
  <c r="G225"/>
  <c r="M180"/>
  <c r="L180"/>
  <c r="K180"/>
  <c r="F180"/>
  <c r="E180"/>
  <c r="D180" l="1"/>
  <c r="O180" s="1"/>
  <c r="O12"/>
  <c r="N127" l="1"/>
  <c r="O127"/>
  <c r="O199"/>
  <c r="F647"/>
  <c r="D647" s="1"/>
  <c r="M397" l="1"/>
  <c r="G397"/>
  <c r="F397"/>
  <c r="D397" l="1"/>
  <c r="N390"/>
  <c r="O390"/>
  <c r="N400"/>
  <c r="O121" l="1"/>
  <c r="N161" l="1"/>
  <c r="N178"/>
  <c r="N179"/>
  <c r="N163"/>
  <c r="N175"/>
  <c r="N160"/>
  <c r="N176"/>
  <c r="N121"/>
  <c r="O123"/>
  <c r="N123"/>
  <c r="O122"/>
  <c r="N122"/>
  <c r="O124"/>
  <c r="N124"/>
  <c r="N82"/>
  <c r="N42"/>
  <c r="N38"/>
  <c r="O29"/>
  <c r="N40" l="1"/>
  <c r="N37"/>
  <c r="N414" l="1"/>
  <c r="N415" l="1"/>
  <c r="J649"/>
  <c r="M649"/>
  <c r="L649"/>
  <c r="K649"/>
  <c r="I649"/>
  <c r="G649"/>
  <c r="F649"/>
  <c r="E649"/>
  <c r="N618"/>
  <c r="D649" l="1"/>
  <c r="F18"/>
  <c r="G18"/>
  <c r="I18"/>
  <c r="K18"/>
  <c r="L18"/>
  <c r="M18"/>
  <c r="J18"/>
  <c r="E27"/>
  <c r="F27"/>
  <c r="G27"/>
  <c r="I27"/>
  <c r="K27"/>
  <c r="L27"/>
  <c r="M27"/>
  <c r="J27"/>
  <c r="L53"/>
  <c r="M53"/>
  <c r="F61"/>
  <c r="G61"/>
  <c r="I61"/>
  <c r="K61"/>
  <c r="J61"/>
  <c r="E65"/>
  <c r="D65" s="1"/>
  <c r="M68"/>
  <c r="D68" s="1"/>
  <c r="E216"/>
  <c r="K216"/>
  <c r="E221"/>
  <c r="E225"/>
  <c r="I225"/>
  <c r="K225"/>
  <c r="L225"/>
  <c r="M225"/>
  <c r="J225"/>
  <c r="E227"/>
  <c r="F227"/>
  <c r="I227"/>
  <c r="K227"/>
  <c r="L227"/>
  <c r="M227"/>
  <c r="J227"/>
  <c r="E249"/>
  <c r="F249"/>
  <c r="G249"/>
  <c r="I249"/>
  <c r="K249"/>
  <c r="L249"/>
  <c r="M249"/>
  <c r="J249"/>
  <c r="E263"/>
  <c r="F263"/>
  <c r="G263"/>
  <c r="I263"/>
  <c r="K263"/>
  <c r="L263"/>
  <c r="M263"/>
  <c r="J263"/>
  <c r="E451"/>
  <c r="G451"/>
  <c r="I451"/>
  <c r="K451"/>
  <c r="L451"/>
  <c r="M451"/>
  <c r="J451"/>
  <c r="E293"/>
  <c r="F293"/>
  <c r="G293"/>
  <c r="K293"/>
  <c r="L293"/>
  <c r="M293"/>
  <c r="J293"/>
  <c r="E315"/>
  <c r="K469"/>
  <c r="E308"/>
  <c r="K308"/>
  <c r="E322"/>
  <c r="F322"/>
  <c r="G322"/>
  <c r="I322"/>
  <c r="K322"/>
  <c r="L322"/>
  <c r="M322"/>
  <c r="J322"/>
  <c r="E327"/>
  <c r="F327"/>
  <c r="I327"/>
  <c r="K327"/>
  <c r="L327"/>
  <c r="M327"/>
  <c r="J327"/>
  <c r="E333"/>
  <c r="E396" s="1"/>
  <c r="F333"/>
  <c r="F396" s="1"/>
  <c r="G333"/>
  <c r="G396" s="1"/>
  <c r="I333"/>
  <c r="K333"/>
  <c r="K396" s="1"/>
  <c r="L333"/>
  <c r="L396" s="1"/>
  <c r="M333"/>
  <c r="M396" s="1"/>
  <c r="J333"/>
  <c r="J396" s="1"/>
  <c r="E343"/>
  <c r="F343"/>
  <c r="G343"/>
  <c r="I343"/>
  <c r="K343"/>
  <c r="L343"/>
  <c r="M343"/>
  <c r="J343"/>
  <c r="E371"/>
  <c r="F371"/>
  <c r="G371"/>
  <c r="I371"/>
  <c r="K371"/>
  <c r="L371"/>
  <c r="M371"/>
  <c r="J371"/>
  <c r="E384"/>
  <c r="F384"/>
  <c r="G384"/>
  <c r="I384"/>
  <c r="K384"/>
  <c r="L384"/>
  <c r="M384"/>
  <c r="J384"/>
  <c r="E409"/>
  <c r="F409"/>
  <c r="G409"/>
  <c r="I409"/>
  <c r="K409"/>
  <c r="L409"/>
  <c r="M409"/>
  <c r="J409"/>
  <c r="E416"/>
  <c r="F416"/>
  <c r="F614" s="1"/>
  <c r="G416"/>
  <c r="G614" s="1"/>
  <c r="I416"/>
  <c r="I614" s="1"/>
  <c r="K416"/>
  <c r="K614" s="1"/>
  <c r="L416"/>
  <c r="L614" s="1"/>
  <c r="M416"/>
  <c r="M614" s="1"/>
  <c r="J416"/>
  <c r="J614" s="1"/>
  <c r="E426"/>
  <c r="F426"/>
  <c r="G426"/>
  <c r="I426"/>
  <c r="K426"/>
  <c r="L426"/>
  <c r="M426"/>
  <c r="J426"/>
  <c r="E432"/>
  <c r="F432"/>
  <c r="F541" s="1"/>
  <c r="G432"/>
  <c r="G541" s="1"/>
  <c r="I432"/>
  <c r="I541" s="1"/>
  <c r="K432"/>
  <c r="K541" s="1"/>
  <c r="L432"/>
  <c r="L541" s="1"/>
  <c r="M432"/>
  <c r="M541" s="1"/>
  <c r="J432"/>
  <c r="J541" s="1"/>
  <c r="E452"/>
  <c r="F452"/>
  <c r="G452"/>
  <c r="I452"/>
  <c r="K452"/>
  <c r="L452"/>
  <c r="M452"/>
  <c r="J452"/>
  <c r="E455"/>
  <c r="F455"/>
  <c r="G455"/>
  <c r="I455"/>
  <c r="K455"/>
  <c r="L455"/>
  <c r="M455"/>
  <c r="J455"/>
  <c r="E470"/>
  <c r="K470"/>
  <c r="E473"/>
  <c r="K473"/>
  <c r="E488"/>
  <c r="F488"/>
  <c r="G488"/>
  <c r="I488"/>
  <c r="K488"/>
  <c r="L488"/>
  <c r="M488"/>
  <c r="J488"/>
  <c r="E491"/>
  <c r="F491"/>
  <c r="G491"/>
  <c r="I491"/>
  <c r="K491"/>
  <c r="L491"/>
  <c r="M491"/>
  <c r="J491"/>
  <c r="E552"/>
  <c r="F552"/>
  <c r="G552"/>
  <c r="I552"/>
  <c r="K552"/>
  <c r="L552"/>
  <c r="M552"/>
  <c r="J552"/>
  <c r="E559"/>
  <c r="F559"/>
  <c r="G559"/>
  <c r="I559"/>
  <c r="K559"/>
  <c r="L559"/>
  <c r="M559"/>
  <c r="J559"/>
  <c r="E578"/>
  <c r="F578"/>
  <c r="G578"/>
  <c r="I578"/>
  <c r="K578"/>
  <c r="L578"/>
  <c r="M578"/>
  <c r="J578"/>
  <c r="F648"/>
  <c r="G648"/>
  <c r="D491" l="1"/>
  <c r="D488"/>
  <c r="D648"/>
  <c r="D470"/>
  <c r="D578"/>
  <c r="D559"/>
  <c r="D552"/>
  <c r="D541"/>
  <c r="D473"/>
  <c r="D455"/>
  <c r="D452"/>
  <c r="D432"/>
  <c r="N432" s="1"/>
  <c r="D426"/>
  <c r="E614"/>
  <c r="D614" s="1"/>
  <c r="N614" s="1"/>
  <c r="D416"/>
  <c r="D409"/>
  <c r="E318"/>
  <c r="D318" s="1"/>
  <c r="D315"/>
  <c r="D384"/>
  <c r="D371"/>
  <c r="D343"/>
  <c r="N383" s="1"/>
  <c r="D327"/>
  <c r="D322"/>
  <c r="I396"/>
  <c r="D396" s="1"/>
  <c r="D333"/>
  <c r="D308"/>
  <c r="D293"/>
  <c r="D263"/>
  <c r="D249"/>
  <c r="N221"/>
  <c r="D221"/>
  <c r="N231"/>
  <c r="O227"/>
  <c r="D227"/>
  <c r="N234" s="1"/>
  <c r="O216"/>
  <c r="D216"/>
  <c r="D225"/>
  <c r="D53"/>
  <c r="D61"/>
  <c r="D27"/>
  <c r="D18"/>
  <c r="N18" s="1"/>
  <c r="N216"/>
  <c r="J487"/>
  <c r="M487"/>
  <c r="M398"/>
  <c r="G487"/>
  <c r="G398"/>
  <c r="F487"/>
  <c r="F398"/>
  <c r="K487"/>
  <c r="K398"/>
  <c r="E487"/>
  <c r="E398"/>
  <c r="L487"/>
  <c r="L398"/>
  <c r="J398"/>
  <c r="I487"/>
  <c r="I398"/>
  <c r="F451"/>
  <c r="E469"/>
  <c r="D469" s="1"/>
  <c r="N549" l="1"/>
  <c r="N542"/>
  <c r="N550"/>
  <c r="N545"/>
  <c r="D398"/>
  <c r="D451"/>
  <c r="N461" s="1"/>
  <c r="N478"/>
  <c r="N477"/>
  <c r="N479"/>
  <c r="N473"/>
  <c r="N470"/>
  <c r="D378" l="1"/>
  <c r="D311"/>
  <c r="O378" l="1"/>
  <c r="N460" l="1"/>
  <c r="O342"/>
  <c r="O341"/>
  <c r="O338"/>
  <c r="O334"/>
  <c r="O327"/>
  <c r="N332" l="1"/>
  <c r="N327"/>
  <c r="O333"/>
  <c r="O322"/>
  <c r="N88"/>
  <c r="N459" l="1"/>
  <c r="O412" l="1"/>
  <c r="O413"/>
  <c r="N670" l="1"/>
  <c r="N673" l="1"/>
  <c r="N591"/>
  <c r="O443"/>
  <c r="O440"/>
  <c r="N426"/>
  <c r="N423"/>
  <c r="N405"/>
  <c r="N404"/>
  <c r="O386"/>
  <c r="O351"/>
  <c r="O348"/>
  <c r="N379"/>
  <c r="N385" l="1"/>
  <c r="O385"/>
  <c r="N431"/>
  <c r="N447"/>
  <c r="N320"/>
  <c r="N319"/>
  <c r="N440"/>
  <c r="O256"/>
  <c r="N276"/>
  <c r="N201"/>
  <c r="N677"/>
  <c r="N357"/>
  <c r="O407"/>
  <c r="O406"/>
  <c r="N375"/>
  <c r="N313"/>
  <c r="N380"/>
  <c r="N314"/>
  <c r="N381"/>
  <c r="N181"/>
  <c r="N145"/>
  <c r="N312"/>
  <c r="N409"/>
  <c r="N455"/>
  <c r="N452"/>
  <c r="N317"/>
  <c r="O343" l="1"/>
  <c r="N371"/>
  <c r="O424"/>
  <c r="N531"/>
  <c r="N527"/>
  <c r="N533"/>
  <c r="N242"/>
  <c r="N275"/>
  <c r="N284"/>
  <c r="N365"/>
  <c r="N353"/>
  <c r="N532"/>
  <c r="N256"/>
  <c r="N293"/>
  <c r="N263"/>
  <c r="N146"/>
  <c r="D382"/>
  <c r="D316"/>
  <c r="N249"/>
  <c r="D505" l="1"/>
  <c r="D487" s="1"/>
  <c r="N514" l="1"/>
  <c r="N513"/>
  <c r="N509"/>
  <c r="N506"/>
  <c r="N515"/>
  <c r="N497"/>
  <c r="N495"/>
  <c r="N496"/>
  <c r="N488"/>
  <c r="N491"/>
  <c r="N85"/>
  <c r="N84"/>
  <c r="N83"/>
  <c r="D73" l="1"/>
  <c r="D74" l="1"/>
  <c r="D75"/>
  <c r="N53"/>
  <c r="D72" l="1"/>
  <c r="O28"/>
  <c r="N27"/>
  <c r="O25"/>
  <c r="O24"/>
  <c r="O19"/>
  <c r="O16"/>
  <c r="O15"/>
  <c r="O14"/>
  <c r="N675" l="1"/>
  <c r="O624"/>
  <c r="N607"/>
  <c r="N606"/>
  <c r="N603"/>
  <c r="N602"/>
  <c r="O686" l="1"/>
  <c r="N609"/>
  <c r="O144"/>
  <c r="N90"/>
  <c r="N691"/>
  <c r="O692"/>
  <c r="N610"/>
  <c r="O676"/>
  <c r="N604"/>
  <c r="N613"/>
  <c r="N686"/>
  <c r="N624"/>
  <c r="N608"/>
  <c r="N15"/>
  <c r="N16"/>
  <c r="N14"/>
  <c r="N80"/>
  <c r="N598" l="1"/>
  <c r="N599" l="1"/>
  <c r="O584"/>
  <c r="O583"/>
  <c r="O623"/>
  <c r="N621" l="1"/>
  <c r="O621"/>
  <c r="N586"/>
  <c r="N596"/>
  <c r="N623"/>
  <c r="N658"/>
  <c r="N687" l="1"/>
  <c r="O668"/>
  <c r="O667"/>
  <c r="N619"/>
  <c r="O581"/>
  <c r="O579"/>
  <c r="O580"/>
  <c r="O577"/>
  <c r="O575"/>
  <c r="O574"/>
  <c r="O573"/>
  <c r="O558"/>
  <c r="O556"/>
  <c r="O555"/>
  <c r="O554"/>
  <c r="O553"/>
  <c r="O620" l="1"/>
</calcChain>
</file>

<file path=xl/sharedStrings.xml><?xml version="1.0" encoding="utf-8"?>
<sst xmlns="http://schemas.openxmlformats.org/spreadsheetml/2006/main" count="1430" uniqueCount="1307">
  <si>
    <t>Показатель</t>
  </si>
  <si>
    <t>1.</t>
  </si>
  <si>
    <t>1.1.</t>
  </si>
  <si>
    <t>Представительные органы муниципальных образований</t>
  </si>
  <si>
    <t>9.1.</t>
  </si>
  <si>
    <t>Местные администрации</t>
  </si>
  <si>
    <t>18.1.</t>
  </si>
  <si>
    <t>Контрольные соотношения</t>
  </si>
  <si>
    <t>Территориальное общественное самоуправление</t>
  </si>
  <si>
    <t>Муници-пальные районы</t>
  </si>
  <si>
    <t>Городские округа</t>
  </si>
  <si>
    <t>Сельские поселения</t>
  </si>
  <si>
    <t>в</t>
  </si>
  <si>
    <t>Городские поселения</t>
  </si>
  <si>
    <t>Внутри-городские районы</t>
  </si>
  <si>
    <t>Ф.И.О. руководителя</t>
  </si>
  <si>
    <t>Главы муниципальных образований</t>
  </si>
  <si>
    <t>10.1.</t>
  </si>
  <si>
    <t>18.</t>
  </si>
  <si>
    <t>12.1.</t>
  </si>
  <si>
    <t>12.1.2.</t>
  </si>
  <si>
    <t>19.2.</t>
  </si>
  <si>
    <t>Муниципальные СМИ</t>
  </si>
  <si>
    <t>23.1.</t>
  </si>
  <si>
    <t xml:space="preserve">30. </t>
  </si>
  <si>
    <t>Сельские старосты</t>
  </si>
  <si>
    <t xml:space="preserve">32. </t>
  </si>
  <si>
    <t>Общее число замещенных депутатских мандатов</t>
  </si>
  <si>
    <t>по иным основаниям</t>
  </si>
  <si>
    <t>Правотворческая инициатива граждан</t>
  </si>
  <si>
    <t>Межмуниципальное сотрудничество</t>
  </si>
  <si>
    <t>Организации (юридические лица), созданные с участием органов местного самоуправления</t>
  </si>
  <si>
    <t>23.2.</t>
  </si>
  <si>
    <t>Количество муниципальных унитарных предприятий</t>
  </si>
  <si>
    <t>3.1.4.</t>
  </si>
  <si>
    <t>4.4.1.</t>
  </si>
  <si>
    <t>10.7.</t>
  </si>
  <si>
    <t>25.</t>
  </si>
  <si>
    <t>33.1.</t>
  </si>
  <si>
    <t>33.2.</t>
  </si>
  <si>
    <t>Муниципальные образования, главы которых избраны на сходах граждан</t>
  </si>
  <si>
    <t>Муниципальные образования с особенностями географического положения:</t>
  </si>
  <si>
    <t>1.1.1.</t>
  </si>
  <si>
    <t xml:space="preserve">  существующих (существовавших) в соответствии с законами субъектов Российской Федерации:</t>
  </si>
  <si>
    <t xml:space="preserve">  имеющие выход к морям Мирового океана и Каспийскому морю</t>
  </si>
  <si>
    <t>Сведения о территории и населении муниципальных образований</t>
  </si>
  <si>
    <t>Муниципальные образования с площадью территории (S):</t>
  </si>
  <si>
    <t xml:space="preserve">  S &gt; 100 тыс. кв. км.</t>
  </si>
  <si>
    <t>Муниципальные образования с численностью постоянного населения:</t>
  </si>
  <si>
    <t xml:space="preserve">  более 1 млн жителей</t>
  </si>
  <si>
    <t>Сведения о составе муниципальных образований и населенных пунктах</t>
  </si>
  <si>
    <t>Муниципальные районы с межселенными территориями</t>
  </si>
  <si>
    <t xml:space="preserve">  101 и более населенных пунктов</t>
  </si>
  <si>
    <t xml:space="preserve">  часть населенного пункта (города) и другие населенные пункты</t>
  </si>
  <si>
    <t>4.4.2.</t>
  </si>
  <si>
    <t>4.4.3.</t>
  </si>
  <si>
    <t>4.5.1.</t>
  </si>
  <si>
    <t>4.5.2.</t>
  </si>
  <si>
    <t>Муниципальные образования, на территории которых находятся:</t>
  </si>
  <si>
    <t xml:space="preserve">  городов</t>
  </si>
  <si>
    <t xml:space="preserve">  поселков</t>
  </si>
  <si>
    <t xml:space="preserve">  иных (сельских) населенных пунктов</t>
  </si>
  <si>
    <t>Муниципальные образования с особенностями статуса и организации местного самоуправления:</t>
  </si>
  <si>
    <t xml:space="preserve">  преобразования муниципальных образований, в т.ч.:</t>
  </si>
  <si>
    <t xml:space="preserve">      городской округ - городской округ с делением (наделение статусом)</t>
  </si>
  <si>
    <t xml:space="preserve">      городской округ с делением - городской округ (лишение статуса)</t>
  </si>
  <si>
    <t xml:space="preserve">      городской округ - городское поселение (лишение статуса)</t>
  </si>
  <si>
    <t xml:space="preserve">      городское поселение - городской округ (наделение статусом)</t>
  </si>
  <si>
    <t xml:space="preserve">  упразднение поселений</t>
  </si>
  <si>
    <t xml:space="preserve">  создание новых поселений на межселенных территориях</t>
  </si>
  <si>
    <t xml:space="preserve">  границы (но не статус) которых менялся в указанный период</t>
  </si>
  <si>
    <t xml:space="preserve">  в т.ч. по решению (определению) суда</t>
  </si>
  <si>
    <t xml:space="preserve">  все вопросы местного значения (кроме вопросов, закрепление которых за сельскими поселениями невозможно)</t>
  </si>
  <si>
    <t xml:space="preserve">    отдельные полномочия в социальной сфере (здравоохранение, образование, социальная защита населения, опека и попечительство)</t>
  </si>
  <si>
    <t xml:space="preserve">    на муниципальных выборах</t>
  </si>
  <si>
    <t xml:space="preserve">    методом делегирования</t>
  </si>
  <si>
    <t xml:space="preserve">  на муниципальных выборах, в т.ч.</t>
  </si>
  <si>
    <t xml:space="preserve">    по спискам кандидатов (пропорциональная система)</t>
  </si>
  <si>
    <t xml:space="preserve">    по одномандатным и многомандатным округам (мажоритарная система)</t>
  </si>
  <si>
    <t xml:space="preserve">    по смешанной системе (часть депутатов избраны по спискам, часть по округам)</t>
  </si>
  <si>
    <t xml:space="preserve">   действующие в полном составе (все мандаты замещены)</t>
  </si>
  <si>
    <t xml:space="preserve">  действующие в неполном, но правомочном составе (вакантных мандатов не более трети)</t>
  </si>
  <si>
    <t xml:space="preserve">  оставшиеся в неправомочном составе (более трети мандатов вакантны), но не распущенные</t>
  </si>
  <si>
    <t xml:space="preserve">  по форме осуществления полномочий:</t>
  </si>
  <si>
    <t xml:space="preserve">    работающие на постоянной основе</t>
  </si>
  <si>
    <t xml:space="preserve">    работающие на непостоянной основе</t>
  </si>
  <si>
    <t xml:space="preserve">  по полу:</t>
  </si>
  <si>
    <t xml:space="preserve">    мужчины</t>
  </si>
  <si>
    <t xml:space="preserve">    женщины</t>
  </si>
  <si>
    <t xml:space="preserve">    старше 65 лет</t>
  </si>
  <si>
    <t xml:space="preserve">  от городских поселений</t>
  </si>
  <si>
    <t xml:space="preserve">  от сельских поселений</t>
  </si>
  <si>
    <t xml:space="preserve">  от внутригородских районов</t>
  </si>
  <si>
    <t xml:space="preserve">  в муниципальном районе и городском поселении</t>
  </si>
  <si>
    <t xml:space="preserve">  в муниципальном районе и сельском поселении</t>
  </si>
  <si>
    <t xml:space="preserve">  в городском округе с внутригородским делением и внутригородском районе</t>
  </si>
  <si>
    <t>Действующие составы представительных органов, фактически сформированные:</t>
  </si>
  <si>
    <t xml:space="preserve">  избранные на муниципальных выборах - председатели представительных органов</t>
  </si>
  <si>
    <t xml:space="preserve">  избранные на муниципальных выборах - главы местных администраций</t>
  </si>
  <si>
    <t xml:space="preserve">  избранные на муниципальных выборах - председатели представительных органов и главы местных администраций</t>
  </si>
  <si>
    <t>Действующие главы муниципальных образований по форме осуществления полномочий:</t>
  </si>
  <si>
    <t xml:space="preserve">  работающие на постоянной основе</t>
  </si>
  <si>
    <t xml:space="preserve">  работающие на непостоянной основе</t>
  </si>
  <si>
    <t xml:space="preserve">  в одном и том же муниципальном образовании</t>
  </si>
  <si>
    <t xml:space="preserve">  статус главы муниципального района (городского округа с внутригородским делением) - депутата поселения (внутригородского района)</t>
  </si>
  <si>
    <t xml:space="preserve">  статус главы поселения (внутригородского района) - депутата муниципального района (городского округа с внутригородским делением)</t>
  </si>
  <si>
    <t>Главы, возглавляющие два муниципальных образования одновременно, в т.ч.:</t>
  </si>
  <si>
    <t xml:space="preserve">  муниципальный район и городское поселение</t>
  </si>
  <si>
    <t xml:space="preserve">  муниципальный район и сельское поселение</t>
  </si>
  <si>
    <t xml:space="preserve">  городской округ с внутригородским делением и внутригородской район</t>
  </si>
  <si>
    <t xml:space="preserve">  избранные депутатами из своего состава - председатели представительных органов</t>
  </si>
  <si>
    <t xml:space="preserve">  избранные депутатами из своего состава - главы местных администраций</t>
  </si>
  <si>
    <t xml:space="preserve">  избранные депутатами из своего состава - председатели представительных органов и главы местных администраций</t>
  </si>
  <si>
    <t xml:space="preserve">  избранные по конкурсу - главы местных администраций</t>
  </si>
  <si>
    <t xml:space="preserve">  избранные по конкурсу - председатели представительных органов и главы местных администраций</t>
  </si>
  <si>
    <t xml:space="preserve">  избранные на сходах - главы местных администраций</t>
  </si>
  <si>
    <t>Действующие главы муниципальных образований по сочетанию способа избрания и фактически исполняемым полномочиям:</t>
  </si>
  <si>
    <t>16.1.</t>
  </si>
  <si>
    <t>17.2.</t>
  </si>
  <si>
    <t>17.3.</t>
  </si>
  <si>
    <t>Муниципальные образования, в которых представительные органы не имеют статуса юридических лиц</t>
  </si>
  <si>
    <t>Органы местного самоуправления, имеющие статус юридических лиц:</t>
  </si>
  <si>
    <t xml:space="preserve">  представительные органы муниципальных образований</t>
  </si>
  <si>
    <t xml:space="preserve">  местные администрации</t>
  </si>
  <si>
    <t xml:space="preserve">  отраслевые (функциональные) органы местных администраций</t>
  </si>
  <si>
    <t xml:space="preserve">  территориальные органы местных администраций</t>
  </si>
  <si>
    <t xml:space="preserve">  контрольно-счетные органы муниципальных образований</t>
  </si>
  <si>
    <t xml:space="preserve">  иные органы местного самоуправления</t>
  </si>
  <si>
    <t>18.2.</t>
  </si>
  <si>
    <t>18.3.</t>
  </si>
  <si>
    <t>Число замещенных ставок</t>
  </si>
  <si>
    <t>Отсутствующие муниципальные служащие, за которыми сохраняется место работы</t>
  </si>
  <si>
    <t>Число замещенных ставок муниципальных служащих</t>
  </si>
  <si>
    <t>18.6.</t>
  </si>
  <si>
    <t>Муниципальная служба и муниципальные служащие</t>
  </si>
  <si>
    <t>Досрочное прекращение и приостановление полномочий органов и должностных лиц местного самоуправления</t>
  </si>
  <si>
    <t>19.1.</t>
  </si>
  <si>
    <t>Число замещенных должностей</t>
  </si>
  <si>
    <t>19.3.</t>
  </si>
  <si>
    <t xml:space="preserve">  по возрасту:</t>
  </si>
  <si>
    <t xml:space="preserve">  с ученой степенью</t>
  </si>
  <si>
    <t>Главы, возглавляющие два муниципальных образования одновременно (поселение и муниципальный район либо городской округ с внутригородским делением и внутригородской район)</t>
  </si>
  <si>
    <t>Муниципальные служащие:</t>
  </si>
  <si>
    <t>Число соответствующих ставок</t>
  </si>
  <si>
    <t>19.4.</t>
  </si>
  <si>
    <t>Отстуствующие должностные лица, за которыми сохраняется место работы</t>
  </si>
  <si>
    <t>Отсутствующие работники, за которыми сохраняется место работы</t>
  </si>
  <si>
    <t xml:space="preserve">  в связи с самороспуском</t>
  </si>
  <si>
    <t xml:space="preserve">  в связи с неправомочностью состава (согласно решению суда)</t>
  </si>
  <si>
    <t xml:space="preserve">  в связи с роспуском (согласно закону субъекта Российской Федерации)</t>
  </si>
  <si>
    <t xml:space="preserve">  в связи с упразднением или преобразованием муниципального образования</t>
  </si>
  <si>
    <t xml:space="preserve">  по иным основаниям</t>
  </si>
  <si>
    <t xml:space="preserve">  отставка по собственному желанию</t>
  </si>
  <si>
    <t xml:space="preserve">  смерть</t>
  </si>
  <si>
    <t xml:space="preserve">  отзыв избирателями</t>
  </si>
  <si>
    <t xml:space="preserve">  отрешение от должности высшим должностным лицом субъекта РФ</t>
  </si>
  <si>
    <t xml:space="preserve">  удаление в отставку по решению представительного органа</t>
  </si>
  <si>
    <t xml:space="preserve">  в связи с вступлением в силу обвинительного приговора</t>
  </si>
  <si>
    <t xml:space="preserve">  в связи с добровольной отставкой, досрочным расторжением контракта по инициативе главы местной администрации или по соглашению сторон</t>
  </si>
  <si>
    <t xml:space="preserve">  в связи со смертью</t>
  </si>
  <si>
    <t xml:space="preserve">  в судебном порядке (в связи с нарушением одной из сторон условий контракта)</t>
  </si>
  <si>
    <t xml:space="preserve">  в связи с отрешением от должности</t>
  </si>
  <si>
    <t xml:space="preserve">  роспуска представительного органа муниципального образования</t>
  </si>
  <si>
    <t xml:space="preserve">  отрешения от должности либо удаления в отставку главы муниципального образования (с восстановлением в должности)</t>
  </si>
  <si>
    <t xml:space="preserve">  отрешения от должности главы местной администрации либо расторжения контракта с ним (с восстановлением в должности)</t>
  </si>
  <si>
    <t xml:space="preserve">  глав муниципальных образований</t>
  </si>
  <si>
    <t xml:space="preserve">  глав местных администраций </t>
  </si>
  <si>
    <t xml:space="preserve">  периодических печатных изданий</t>
  </si>
  <si>
    <t xml:space="preserve">  сетевых изданий</t>
  </si>
  <si>
    <t xml:space="preserve">  иных форм СМИ</t>
  </si>
  <si>
    <t xml:space="preserve">  в хозяйственных обществах</t>
  </si>
  <si>
    <t xml:space="preserve">  в некоммерческих организациях (с учетом советов муниципальных образований субъектов Российской Федерации)</t>
  </si>
  <si>
    <t xml:space="preserve">  в некоммерческих организациях (без учета советов муниципальных образований субъектов Российской Федерации)</t>
  </si>
  <si>
    <t xml:space="preserve">  в советах муниципальных образований</t>
  </si>
  <si>
    <t xml:space="preserve">  в иных межмуниципальных некоммерческих организациях</t>
  </si>
  <si>
    <t xml:space="preserve">  в межмуниципальных хозяйственных обществах</t>
  </si>
  <si>
    <t xml:space="preserve">  по иным вопросам</t>
  </si>
  <si>
    <t xml:space="preserve">  по вопросам осуществления полномочий представительных органов поселений</t>
  </si>
  <si>
    <t xml:space="preserve">  по вопросам изменения территориальной организации местного самоуправления</t>
  </si>
  <si>
    <t xml:space="preserve">  правила землепользования и застройки</t>
  </si>
  <si>
    <t xml:space="preserve">  правила благоустройства территории</t>
  </si>
  <si>
    <t>Муниципальные образования, в которых приняты действующие:</t>
  </si>
  <si>
    <t>4.1.2.</t>
  </si>
  <si>
    <t>4.1.3.</t>
  </si>
  <si>
    <t>Депутаты, имеющие депутатский статус в двух муниципальных образованиях:</t>
  </si>
  <si>
    <t>Главы муниципальных образований, одновременно имеющие статус депутата представительного органа муниципального образования:</t>
  </si>
  <si>
    <t>Социально-демографический статус депутатов представительных органов, глав муниципальных образований и муниципальных служащих</t>
  </si>
  <si>
    <t>Количество ТОС, имеющих с органами местного самоуправления соглашения, предусматривающие использование бюджетных средств</t>
  </si>
  <si>
    <t>31.1.</t>
  </si>
  <si>
    <t>31.</t>
  </si>
  <si>
    <t>31.2.</t>
  </si>
  <si>
    <t>31.3.</t>
  </si>
  <si>
    <t xml:space="preserve">  в местных администрациях, их отраслевых (функциональных) и территориальных органах</t>
  </si>
  <si>
    <t xml:space="preserve">  в иных органах местного самоуправления</t>
  </si>
  <si>
    <t>(наименование субъекта Российской Федерации или иной территории)</t>
  </si>
  <si>
    <t xml:space="preserve">  ранее существовавшие в ином статусе, но не являющиеся вновь образованными</t>
  </si>
  <si>
    <t xml:space="preserve">  федеральные полномочия, напрямую делегированные органам местного самоуправления (хотя бы одно из нижеперечисленных):</t>
  </si>
  <si>
    <t>Муниципальные образования, в которых представительные органы не сформированы по следующим причинам:</t>
  </si>
  <si>
    <t>Действующие представительные органы муниципальных образований по соотношению замещенных и вакантных мандатов:</t>
  </si>
  <si>
    <t>Муниципальные образования, в которых должности глав вакантны по следующим причинам:</t>
  </si>
  <si>
    <t xml:space="preserve">  ранее избранные главы прекратили осуществление своих полномочий, а новые еще не избраны</t>
  </si>
  <si>
    <t>Вакантные должности глав местных администраций (не глав муниципальных образований), подлежащие замещению по конкурсу</t>
  </si>
  <si>
    <t>Число действующих отраслевых (функциональных) органов местных администраций</t>
  </si>
  <si>
    <t>Число действующих территориальных органов местных администраций</t>
  </si>
  <si>
    <t>Муниципальные образования, участвующие в организациях межмуниципального сотрудничества, в том числе:</t>
  </si>
  <si>
    <t>Муниципальные образования, являющиеся учредителями (соучредителями) муниципальных СМИ (хотя бы одного), зарегистрированных в соответствии с законодательством о СМИ:</t>
  </si>
  <si>
    <t>Муниципальные образования, не участвующие в организациях межмуниципального сотрудничества</t>
  </si>
  <si>
    <t>Количество избранных (назначенных) сельских старост, работающих в сельских населенных пунктах в границах:</t>
  </si>
  <si>
    <t xml:space="preserve">  генеральные планы</t>
  </si>
  <si>
    <t xml:space="preserve">  схемы территориального планирования</t>
  </si>
  <si>
    <t xml:space="preserve">  нет данных</t>
  </si>
  <si>
    <t xml:space="preserve">  от 1 до 10 дополнительных вопросов местного значения либо полномочий</t>
  </si>
  <si>
    <t xml:space="preserve">  в соответствии с законами субъектов Российской Федерации:</t>
  </si>
  <si>
    <t xml:space="preserve">    допускаются оба способа формирования представительного органа</t>
  </si>
  <si>
    <t xml:space="preserve">  прекратившие существование в указанный период (утратившие статус муниципальных образований вследствие преобразования или упразднения)</t>
  </si>
  <si>
    <t>Поселения, в которых представительные органы не подлежат формированию в связи с осуществлением их полномочий сходом граждан</t>
  </si>
  <si>
    <t xml:space="preserve">    депутаты избираются на муниципальных выборах (явное указание)</t>
  </si>
  <si>
    <t xml:space="preserve">    состав формируется методом делегирования (явное указание)</t>
  </si>
  <si>
    <t xml:space="preserve">  муниципальные выборы (явное указание);</t>
  </si>
  <si>
    <t xml:space="preserve">  депутатами представительного органа из своего состава (явное указание);</t>
  </si>
  <si>
    <t xml:space="preserve">  из числа кандидатов, представленных конкурсными комиссиями (явное указание)</t>
  </si>
  <si>
    <t>Место глав муниципальных образований в системе органов местного самоуправления в соответствии с законами субъектов Российской Федерации:</t>
  </si>
  <si>
    <t xml:space="preserve">  главы местных администраций (явное указание)</t>
  </si>
  <si>
    <t xml:space="preserve">  председатели представительных органов (явное указание)</t>
  </si>
  <si>
    <t xml:space="preserve">  главы местных администраций и председатели представительных органов одновременно (явное указание)</t>
  </si>
  <si>
    <t xml:space="preserve">  избираемые на сходах - главы местных администраций</t>
  </si>
  <si>
    <t xml:space="preserve">  избираемые на муниципальных выборах - председатели представительных органов</t>
  </si>
  <si>
    <t xml:space="preserve">  избираемые на муниципальных выборах - главы местных администраций</t>
  </si>
  <si>
    <t xml:space="preserve">  избираемые на муниципальных выборах - председатели представительных органов и главы местных администраций</t>
  </si>
  <si>
    <t xml:space="preserve">  избираемые депутатами из своего состава - председатели представительных органов</t>
  </si>
  <si>
    <t xml:space="preserve">  избираемые депутатами из своего состава - главы местных администраций</t>
  </si>
  <si>
    <t xml:space="preserve">  избираемые депутатами из своего состава - председатели представительных органов и главы местных администраций</t>
  </si>
  <si>
    <t xml:space="preserve">  избираемые по конкурсу - главы местных администраций</t>
  </si>
  <si>
    <t xml:space="preserve">  избираемые по конкурсу - председатели представительных органов и главы местных администраций</t>
  </si>
  <si>
    <t xml:space="preserve">  в связи с утратой доверия Президента Российской Федерации ввиду нарушения антикоррупционных ограничений</t>
  </si>
  <si>
    <t>2.1.*</t>
  </si>
  <si>
    <t>2.2.*</t>
  </si>
  <si>
    <t>2.3.*</t>
  </si>
  <si>
    <t xml:space="preserve">  только городские поселения</t>
  </si>
  <si>
    <t>Муниципальные образования, в которых полномочия представительного органа осуществляются сходом граждан</t>
  </si>
  <si>
    <t>30.2.*</t>
  </si>
  <si>
    <t xml:space="preserve">  в т.ч. работающих на постоянной (штатной) основе</t>
  </si>
  <si>
    <t>3.1.1.*</t>
  </si>
  <si>
    <t>3.1.2.*</t>
  </si>
  <si>
    <t>3.1.3.*</t>
  </si>
  <si>
    <t>3.1.5.*</t>
  </si>
  <si>
    <t>3.1.6.*</t>
  </si>
  <si>
    <t>3.1.7.*</t>
  </si>
  <si>
    <t>3.1.8.*</t>
  </si>
  <si>
    <t>3.2.</t>
  </si>
  <si>
    <t>3.2.1.*</t>
  </si>
  <si>
    <t>3.2.2.*</t>
  </si>
  <si>
    <t>3.2.6.*</t>
  </si>
  <si>
    <t xml:space="preserve">  11-20 поселений</t>
  </si>
  <si>
    <t xml:space="preserve">  21 и более поселений</t>
  </si>
  <si>
    <t>4.1.1.*</t>
  </si>
  <si>
    <t>Муниципальные районы по видам входящих в их состав поселений:</t>
  </si>
  <si>
    <t>Муниципальные районы по количеству входящих в их состав поселений:</t>
  </si>
  <si>
    <t>4.2.2.</t>
  </si>
  <si>
    <t>4.3.*</t>
  </si>
  <si>
    <t xml:space="preserve">  11-100 населенных пунктов</t>
  </si>
  <si>
    <t xml:space="preserve">4.4. </t>
  </si>
  <si>
    <t>4.4.4.</t>
  </si>
  <si>
    <t>4.4.5.</t>
  </si>
  <si>
    <t>4.4.6.</t>
  </si>
  <si>
    <t>4.5.</t>
  </si>
  <si>
    <t>Количество населенных пунктов:</t>
  </si>
  <si>
    <t>4.5.1.1.</t>
  </si>
  <si>
    <t>4.5.1.2.</t>
  </si>
  <si>
    <t>4.5.1.3.</t>
  </si>
  <si>
    <t xml:space="preserve">    городов</t>
  </si>
  <si>
    <t xml:space="preserve">    поселков</t>
  </si>
  <si>
    <t xml:space="preserve">    иных (сельских) населенных пунктов</t>
  </si>
  <si>
    <t xml:space="preserve">  расположенных на межселенных территориях (вне поселений), в т.ч.:</t>
  </si>
  <si>
    <t xml:space="preserve">  расположенных в субъектах Российской Федерации - городах федерального значения, в т.ч.:</t>
  </si>
  <si>
    <t>4.5.2.1.</t>
  </si>
  <si>
    <t>4.5.2.2.</t>
  </si>
  <si>
    <t>4.5.3.</t>
  </si>
  <si>
    <t>4.5.3.1.</t>
  </si>
  <si>
    <t>4.5.3.2.</t>
  </si>
  <si>
    <t>4.5.3.3.</t>
  </si>
  <si>
    <t>4.5.4.</t>
  </si>
  <si>
    <t>4.5.4.1.</t>
  </si>
  <si>
    <t>4.5.4.2.</t>
  </si>
  <si>
    <t>4.5.4.3.</t>
  </si>
  <si>
    <t xml:space="preserve">  до 1 млн рублей</t>
  </si>
  <si>
    <t>3.2.5.*</t>
  </si>
  <si>
    <t xml:space="preserve">  3-10 населенных пунктов</t>
  </si>
  <si>
    <t xml:space="preserve">  вновь образованные в указанный период (в том числе в связи с преобразованиями)</t>
  </si>
  <si>
    <t>6.6.*</t>
  </si>
  <si>
    <t>6.6.1.*</t>
  </si>
  <si>
    <t>9.</t>
  </si>
  <si>
    <t>9.3.</t>
  </si>
  <si>
    <t>Представительные органы муниципальных районов и городских округов с внутригородским делением, которые должны формироваться:</t>
  </si>
  <si>
    <t xml:space="preserve">  полномочия представительных органов осуществляются сходами граждан</t>
  </si>
  <si>
    <t xml:space="preserve">  полномочия ранее действовавших составов прекращены (в том числе в связи с роспуском или самороспуском), новые еще не сформированы</t>
  </si>
  <si>
    <t xml:space="preserve">  во вновь образованных и (или) преобразованных муниципальных образованиях выборы (процедуры формирования) еще не проводились либо не привели к формированию правомочного состава</t>
  </si>
  <si>
    <t>10.3.</t>
  </si>
  <si>
    <t xml:space="preserve">  иное (не указан, обозначен в виде возможных вариантов или поставлен в зависимость от каких-либо условий)</t>
  </si>
  <si>
    <t xml:space="preserve">  иное (не указано, обозначено в виде возможных вариантов или поставлено в зависимость от каких-либо условий)</t>
  </si>
  <si>
    <t>11.2.*</t>
  </si>
  <si>
    <t xml:space="preserve">  во вновь образованных и (или) преобразованных муниципальных образованиях выборы главы еще не проводились либо не состоялись</t>
  </si>
  <si>
    <t>Главы утративших статус и (или) преобразованных) муниципальных образований, продолжающие работу до завершения переходного периода</t>
  </si>
  <si>
    <t>Муниципальные образования, главы которых временно отстранены от должности</t>
  </si>
  <si>
    <t>Муниципальные образования, в которых утвержденная структура местной администрации предусматривает создание:</t>
  </si>
  <si>
    <t xml:space="preserve">  отраслевых (функциональных) органов местной администрации</t>
  </si>
  <si>
    <t xml:space="preserve">   территориальных органов местной администрации</t>
  </si>
  <si>
    <t xml:space="preserve">    от 18 до 35 лет</t>
  </si>
  <si>
    <t xml:space="preserve">    от 36 до 65 лет</t>
  </si>
  <si>
    <t xml:space="preserve">   с высшим образованием</t>
  </si>
  <si>
    <t xml:space="preserve">  с высшим образованием</t>
  </si>
  <si>
    <t>Общественные палаты (советы) муниципальных образований</t>
  </si>
  <si>
    <t xml:space="preserve">  11 и более вопросов местного значения (но не все вопросы местного значения)</t>
  </si>
  <si>
    <t xml:space="preserve">  1-2 поселения (или без поселений)</t>
  </si>
  <si>
    <t xml:space="preserve">4.2. </t>
  </si>
  <si>
    <t>4.2.1.</t>
  </si>
  <si>
    <t>Муниципальные образования и местные бюджеты</t>
  </si>
  <si>
    <t xml:space="preserve">  до 100 жителей</t>
  </si>
  <si>
    <t>3.2.4.*</t>
  </si>
  <si>
    <t>3.1.*</t>
  </si>
  <si>
    <t>6.1.*</t>
  </si>
  <si>
    <t>6.2.*</t>
  </si>
  <si>
    <t>6.2.1.*</t>
  </si>
  <si>
    <t>6.2.2.*</t>
  </si>
  <si>
    <t>6.2.3.*</t>
  </si>
  <si>
    <t>6.2.3.1.*</t>
  </si>
  <si>
    <t>6.2.3.2.*</t>
  </si>
  <si>
    <t>6.2.3.3.*</t>
  </si>
  <si>
    <t>6.2.3.4.*</t>
  </si>
  <si>
    <t>6.3.*</t>
  </si>
  <si>
    <t>6.4.*</t>
  </si>
  <si>
    <t>6.5.*</t>
  </si>
  <si>
    <t>7.1.*</t>
  </si>
  <si>
    <t>7.2.*</t>
  </si>
  <si>
    <t>7.3.*</t>
  </si>
  <si>
    <t>7.4.*</t>
  </si>
  <si>
    <t>10.3.1.*</t>
  </si>
  <si>
    <t>3.</t>
  </si>
  <si>
    <t>4.</t>
  </si>
  <si>
    <t>10.9.</t>
  </si>
  <si>
    <t>12.1.1.</t>
  </si>
  <si>
    <t>12.1.1.1.</t>
  </si>
  <si>
    <t>12.1.2.1.</t>
  </si>
  <si>
    <t>12.1.3.</t>
  </si>
  <si>
    <t>12.1.3.1.</t>
  </si>
  <si>
    <t>12.1.3.2.</t>
  </si>
  <si>
    <t>13.1.1.*</t>
  </si>
  <si>
    <t>13.1.2.*</t>
  </si>
  <si>
    <t>13.2.*</t>
  </si>
  <si>
    <t>13.6.1.</t>
  </si>
  <si>
    <t>13.6.2.</t>
  </si>
  <si>
    <t>13.1.*</t>
  </si>
  <si>
    <t>14.</t>
  </si>
  <si>
    <t>14.1.</t>
  </si>
  <si>
    <t>15.1.3.*</t>
  </si>
  <si>
    <t>Контрольно-счетные органы муниципальных образований</t>
  </si>
  <si>
    <t>Количество действующих контрольно-счетных органов муниципальных образований</t>
  </si>
  <si>
    <t>17.3.1.</t>
  </si>
  <si>
    <t>Муниципальные образования, в которых предусмотрены следующие формы осуществления внешнего финансового контроля:</t>
  </si>
  <si>
    <t xml:space="preserve">  создание контрольно-счетных органов</t>
  </si>
  <si>
    <t xml:space="preserve">  передача полномочий по осуществлению внешнего финансового контроля контрольно-счетным органам другого уровня</t>
  </si>
  <si>
    <t>24.3.</t>
  </si>
  <si>
    <t>27.1.</t>
  </si>
  <si>
    <t>27.1.1.</t>
  </si>
  <si>
    <t xml:space="preserve">  по вопросам самообложения</t>
  </si>
  <si>
    <t>Сходы граждан</t>
  </si>
  <si>
    <t>Собрания, конференции, публичные слушания, опросы</t>
  </si>
  <si>
    <t>31.4.</t>
  </si>
  <si>
    <t>Уставы муниципальных образований и нормативно-правовое обеспечение</t>
  </si>
  <si>
    <t>32.3.*</t>
  </si>
  <si>
    <t>32.4.</t>
  </si>
  <si>
    <t>Общая численность членов общественных палат (советов) муниципальных образований, общественных советов при органах местного самоуправления</t>
  </si>
  <si>
    <t>33.3.</t>
  </si>
  <si>
    <t>Количество муниципальных образований, на территории которых действует не менее одного ТОС со статусом юридических лиц (некоммерческих организаций)</t>
  </si>
  <si>
    <t>Количество ТОС со статусом юридических лиц, действующих на территории:</t>
  </si>
  <si>
    <t>Сведения об участниках процесса сбора, обобщения и уточнения информации в рамках мониторинга развития местного самоуправления</t>
  </si>
  <si>
    <t>32.6.*</t>
  </si>
  <si>
    <t>11.1.1.2.*</t>
  </si>
  <si>
    <t>Внутригородские районы, за которыми закреплены дополнительные вопросы местного значения и (или) дополнительные полномочия на условиях разграничения полномочий с городским округом с внутригородским делением</t>
  </si>
  <si>
    <t>11.5.1.</t>
  </si>
  <si>
    <t>11.5.2.</t>
  </si>
  <si>
    <t>12.5.</t>
  </si>
  <si>
    <t xml:space="preserve">  в аппаратах представительных органов муниципальных образований</t>
  </si>
  <si>
    <t>11.1.2.2.*</t>
  </si>
  <si>
    <t>12.1.2.3.</t>
  </si>
  <si>
    <t>Общее число ставок муниципальных служащих  согласно штатному расписанию</t>
  </si>
  <si>
    <t>Главы местных администраций (не главы муниципальных образований), назначенные по конкурсу</t>
  </si>
  <si>
    <t>16.3.</t>
  </si>
  <si>
    <t>16.7.*</t>
  </si>
  <si>
    <t>Муниципальные образования, в соответствии с уставами которых:</t>
  </si>
  <si>
    <t xml:space="preserve">  местные администрации возглавляются главами муниципальных образований</t>
  </si>
  <si>
    <t xml:space="preserve">  предусматривается назначение глав местных администраций (не глав муниципальных образований) по конкурсу</t>
  </si>
  <si>
    <t>Главы муниципальных образований, возглавляющие местные администрации</t>
  </si>
  <si>
    <t xml:space="preserve"> Главы местных администраций, назначенные по конкурсу и временно отстраненные от должности</t>
  </si>
  <si>
    <t xml:space="preserve"> Главы местных администраций, возглавляющие администрации утративших статус и (или) преобразованных муниципальных образований, назначенные по конкурсу и продолжающие работу до завершения переходного периода</t>
  </si>
  <si>
    <t xml:space="preserve">  иное (либо вопрос осуществления внешнего финансового контроля не урегулирован)</t>
  </si>
  <si>
    <t xml:space="preserve">    с высшим образованием, в т.ч.:</t>
  </si>
  <si>
    <t xml:space="preserve">  с высшим образованием, в т.ч.:</t>
  </si>
  <si>
    <t xml:space="preserve">    порядок формирования представительного органа не указан в явном виде и зависит от каких-либо условий (критериев), обозначенных в законе.</t>
  </si>
  <si>
    <t>4.2.3.</t>
  </si>
  <si>
    <t xml:space="preserve">  городские и сельские поселения</t>
  </si>
  <si>
    <t xml:space="preserve">  только сельские поселения (или без поселений)</t>
  </si>
  <si>
    <t xml:space="preserve">  1-2 населенный пункта (или ни одного населенного пункта)</t>
  </si>
  <si>
    <t>12.7.</t>
  </si>
  <si>
    <t>Внутригородские муниципальные образования городов Москвы, Санкт-Петербурга, Севастополя</t>
  </si>
  <si>
    <t>Общее число членов контрольно-счетных органов муниципальных образований (включая их председателей, заместителей председателей и аудиторов)</t>
  </si>
  <si>
    <t>Муниципальные образования, не являющиеся учредителями (соучредителями) каких-либо муниципальных СМИ</t>
  </si>
  <si>
    <t>Муниципальные образования, имеющие договоры о внешнеэкономическом и приграничном сотрудничестве с зарубежными муниципалитетами и территориями (включая "города-побратимы")</t>
  </si>
  <si>
    <t>Муници-пальные округа</t>
  </si>
  <si>
    <t xml:space="preserve">  приграничные, непосредственно примыкающие к государственной границе (кроме морской границы)</t>
  </si>
  <si>
    <t>Примечания</t>
  </si>
  <si>
    <t>1.2.*</t>
  </si>
  <si>
    <t>3.2.7.*</t>
  </si>
  <si>
    <t>3.2.8.*</t>
  </si>
  <si>
    <t xml:space="preserve">  от 50 001 до 100 000 жителей</t>
  </si>
  <si>
    <t>3.3.</t>
  </si>
  <si>
    <t>3.3.1.</t>
  </si>
  <si>
    <t>3.3.2.</t>
  </si>
  <si>
    <t>3.3.3.</t>
  </si>
  <si>
    <t>3.3.4.</t>
  </si>
  <si>
    <t>4.1.</t>
  </si>
  <si>
    <t xml:space="preserve">  лишь часть населенного пункта (города)</t>
  </si>
  <si>
    <t xml:space="preserve">  расположенных в границах поселений, муниципальных и городских округов в т.ч.:</t>
  </si>
  <si>
    <t xml:space="preserve">  3-5 поселений</t>
  </si>
  <si>
    <t xml:space="preserve">  6-10 поселений</t>
  </si>
  <si>
    <t>4.1.4.</t>
  </si>
  <si>
    <t>4.1.5.*</t>
  </si>
  <si>
    <t xml:space="preserve">5.1. </t>
  </si>
  <si>
    <t>Муниципальные образования с особым правовым статусом:</t>
  </si>
  <si>
    <t>Муниципальные образования, полностью или частично расположенные на территориях с особыми правовыми режимами:</t>
  </si>
  <si>
    <t>5.2.1.*</t>
  </si>
  <si>
    <t>5.2.2.*</t>
  </si>
  <si>
    <t xml:space="preserve">5. </t>
  </si>
  <si>
    <t>8.</t>
  </si>
  <si>
    <t xml:space="preserve">    в т.ч. затронувшие населенные пункты</t>
  </si>
  <si>
    <t>6.1.1.</t>
  </si>
  <si>
    <t>6.2.5.*</t>
  </si>
  <si>
    <t>6.2.1.1.*</t>
  </si>
  <si>
    <t>6.2.1.2.*</t>
  </si>
  <si>
    <t>6.2.1.3.*</t>
  </si>
  <si>
    <t xml:space="preserve">6.2.1.4.* </t>
  </si>
  <si>
    <t>6.2.1.5.*</t>
  </si>
  <si>
    <t>6.2.1.6.*</t>
  </si>
  <si>
    <t xml:space="preserve">    объединения муниципальных образований, в т.ч.</t>
  </si>
  <si>
    <t xml:space="preserve">      простые объединения двух или нескольких муниципальных образований одного вида</t>
  </si>
  <si>
    <t xml:space="preserve">      объединения одного или нескольких поселений с существующим городским или муниципальным округом</t>
  </si>
  <si>
    <t xml:space="preserve">      объединения всех поселений муниципального района с существующим муниципальным или городским округом (с упразднением муниципального района)</t>
  </si>
  <si>
    <t xml:space="preserve">      объединения городских поселений с сельскими</t>
  </si>
  <si>
    <t xml:space="preserve">      объединения всех поселений муниципального района с созданием нового городского или муниципального округа</t>
  </si>
  <si>
    <t xml:space="preserve">   изменения статуса муниципального образования (наделение статусом либо лишение статуса)</t>
  </si>
  <si>
    <t>6.2.3.5.*</t>
  </si>
  <si>
    <t xml:space="preserve">      сельское поселение - городское поселение</t>
  </si>
  <si>
    <t xml:space="preserve">      городское поселение - сельское поселение</t>
  </si>
  <si>
    <t xml:space="preserve">     городской округ - муниципальный округ</t>
  </si>
  <si>
    <t xml:space="preserve">      муниципальный округ - городской округ</t>
  </si>
  <si>
    <t>6.2.3.6.*</t>
  </si>
  <si>
    <t>6.2.3.7.*</t>
  </si>
  <si>
    <t>6.2.3.8.*</t>
  </si>
  <si>
    <t>6.2.4.*</t>
  </si>
  <si>
    <t xml:space="preserve">    присоединение поселения (поселений) к внутригородскому округу с делением</t>
  </si>
  <si>
    <t xml:space="preserve">    выделение внутригородского района из городского округа с делением</t>
  </si>
  <si>
    <t>6.2.6.*</t>
  </si>
  <si>
    <t xml:space="preserve">    иные преобразования (в т.ч. комбинированные)</t>
  </si>
  <si>
    <t>Изменения, связанные с изменениями состава Российской Федерации и границ между ее субъектами</t>
  </si>
  <si>
    <t>6.</t>
  </si>
  <si>
    <t>7.</t>
  </si>
  <si>
    <t>Случаи отмены или приостановления действия любых изменений (в том числе произведенных в предыдущие годы)</t>
  </si>
  <si>
    <t>Случаи повторного введения в действие ранее отмененных или приостановленных изменений</t>
  </si>
  <si>
    <t>6.7.*</t>
  </si>
  <si>
    <t>10.3.3.*</t>
  </si>
  <si>
    <t>11.3.</t>
  </si>
  <si>
    <t>12.3.</t>
  </si>
  <si>
    <t xml:space="preserve">  8-10 депутатов</t>
  </si>
  <si>
    <t xml:space="preserve">13.6. </t>
  </si>
  <si>
    <t>13.6.3.</t>
  </si>
  <si>
    <t>Действующие представительные органы с фракциями, в т.ч.:</t>
  </si>
  <si>
    <t>13.7.1.</t>
  </si>
  <si>
    <t>13.7.2.</t>
  </si>
  <si>
    <t>13.7.3.</t>
  </si>
  <si>
    <t>13.7.4.</t>
  </si>
  <si>
    <t xml:space="preserve">  политической партии Единая Россия</t>
  </si>
  <si>
    <t xml:space="preserve">  политической партии КПРФ</t>
  </si>
  <si>
    <t xml:space="preserve">  политической партии ЛДПР</t>
  </si>
  <si>
    <t xml:space="preserve">  иных политических партий</t>
  </si>
  <si>
    <t>13.8.1.</t>
  </si>
  <si>
    <t>13.8.2.</t>
  </si>
  <si>
    <t xml:space="preserve">  в составе списков кандидатов по пропорциональной системе (включая депутатов-списочников, избранных при применении смешанной системы), в т.ч.:</t>
  </si>
  <si>
    <t xml:space="preserve">    избранные по спискам КПРФ</t>
  </si>
  <si>
    <t xml:space="preserve">    избранные по спискам ЛДПР</t>
  </si>
  <si>
    <t xml:space="preserve">    избранные по спискам иных политических партий</t>
  </si>
  <si>
    <t xml:space="preserve">    избранные по спискам местных избирательных объединений (не являющихся политическими партиями)</t>
  </si>
  <si>
    <t xml:space="preserve">  по одномандатным и многомандатным округам (включая депутатов, избранных по округам при применении смешанной системы), в т.ч.</t>
  </si>
  <si>
    <t xml:space="preserve">  выдвигавшиеся местными избирательными объединениями (не являющимися политическими партяими)</t>
  </si>
  <si>
    <t xml:space="preserve">  самовыдвиженцы</t>
  </si>
  <si>
    <t xml:space="preserve">  по фракционной принадлежности:</t>
  </si>
  <si>
    <t xml:space="preserve">    фракция КПРФ</t>
  </si>
  <si>
    <t xml:space="preserve">    фракция ЛДПР</t>
  </si>
  <si>
    <t xml:space="preserve">    фракции иных политических партий</t>
  </si>
  <si>
    <t xml:space="preserve">    внефракционные депутаты</t>
  </si>
  <si>
    <t>Общая численность депутатского корпуса (с учетом двойного статуса депутатов, избранных методом делегирования)</t>
  </si>
  <si>
    <t xml:space="preserve">    выдвигавшиеся КПРФ</t>
  </si>
  <si>
    <t xml:space="preserve">    выдвигавшиеся ЛДПР</t>
  </si>
  <si>
    <t xml:space="preserve">    выдвигавшиеся иными политическими партиями</t>
  </si>
  <si>
    <t xml:space="preserve">  по партийной принадлежности</t>
  </si>
  <si>
    <t xml:space="preserve">    КПРФ</t>
  </si>
  <si>
    <t xml:space="preserve">    ЛДПР</t>
  </si>
  <si>
    <t xml:space="preserve">    Справедливая Россия</t>
  </si>
  <si>
    <t xml:space="preserve">    иные зарегистрированные партии</t>
  </si>
  <si>
    <t xml:space="preserve">    беспартийные или отказавшиеся раскрыть партийную принадлежность</t>
  </si>
  <si>
    <t xml:space="preserve">  выдвигавшиеся местными избирательными объединениями (не являющимися политическими партяими)*</t>
  </si>
  <si>
    <t>17.1.</t>
  </si>
  <si>
    <t>17.</t>
  </si>
  <si>
    <t>17.1.1.</t>
  </si>
  <si>
    <t>17.1.2.</t>
  </si>
  <si>
    <t>Муниципальные образования, в которых местные администрации не имеют статуса юридических лиц</t>
  </si>
  <si>
    <t xml:space="preserve">  в аппаратах контрольно-счетных органов муниципальных образований</t>
  </si>
  <si>
    <t>Число соответствующих муниципальных должностей, предусмотренных муниципальными правовыми актами</t>
  </si>
  <si>
    <t>Число соответствующих ставок, предполагающих работу на постоянной основе</t>
  </si>
  <si>
    <t>20.6.</t>
  </si>
  <si>
    <t>24.</t>
  </si>
  <si>
    <t>24.1.</t>
  </si>
  <si>
    <t>24.1.1.</t>
  </si>
  <si>
    <t>24.1.2.</t>
  </si>
  <si>
    <t>24.1.3.</t>
  </si>
  <si>
    <t>24.2.</t>
  </si>
  <si>
    <t>24.2.1.</t>
  </si>
  <si>
    <t>24.2.2.</t>
  </si>
  <si>
    <t>24.2.3.</t>
  </si>
  <si>
    <t>26.2.</t>
  </si>
  <si>
    <t>27.4.*</t>
  </si>
  <si>
    <t xml:space="preserve">28. </t>
  </si>
  <si>
    <t>28.1.*</t>
  </si>
  <si>
    <t>29.1.</t>
  </si>
  <si>
    <t xml:space="preserve">  по самообложению</t>
  </si>
  <si>
    <t xml:space="preserve">  демография</t>
  </si>
  <si>
    <t xml:space="preserve">  здравоохранение</t>
  </si>
  <si>
    <t xml:space="preserve">  образование</t>
  </si>
  <si>
    <t xml:space="preserve">  жилье и городская среда</t>
  </si>
  <si>
    <t xml:space="preserve">  экология</t>
  </si>
  <si>
    <t xml:space="preserve">  безопасные и качественные автомобильные дороги</t>
  </si>
  <si>
    <t xml:space="preserve">  производительность труда и поддержка занятости</t>
  </si>
  <si>
    <t xml:space="preserve">  наука</t>
  </si>
  <si>
    <t xml:space="preserve">  цифровая экономика</t>
  </si>
  <si>
    <t xml:space="preserve">  культура</t>
  </si>
  <si>
    <t xml:space="preserve">  малое и среднее предпринимательство и поддержка индивидуальной предпринимательской инициативы</t>
  </si>
  <si>
    <t xml:space="preserve">  международная кооперация и экспорт</t>
  </si>
  <si>
    <t>Муниципальные образования, являющиеся учредителями (соучредителями) муниципальных СМИ, не зарегистрированных (и не нуждающихся в регистрации) в соответствии с законодательством о СМИ:</t>
  </si>
  <si>
    <t>20.</t>
  </si>
  <si>
    <t>20.2.</t>
  </si>
  <si>
    <t>20.3.</t>
  </si>
  <si>
    <t>20.1.</t>
  </si>
  <si>
    <t xml:space="preserve">  теле- и радиоканалов и программ</t>
  </si>
  <si>
    <t xml:space="preserve">  учредителями муниципальных унитарных предприятий</t>
  </si>
  <si>
    <t xml:space="preserve">  учредителями муниципальных учреждений (включая местного самоуправления, имеющие статус юридических лиц)</t>
  </si>
  <si>
    <t>Количество всех муниципальных учреждений (включая органы местного самоуправления, имеющие статус юридических лиц)</t>
  </si>
  <si>
    <t>Сформированные и действующие общественные советы при органах местного самоуправления</t>
  </si>
  <si>
    <t>Сформированные и действующие общественные палаты (советы) муниципальных образований</t>
  </si>
  <si>
    <t xml:space="preserve">      объединения городских округов с муниципальными округами</t>
  </si>
  <si>
    <t xml:space="preserve">    избранные по спискам Единой России</t>
  </si>
  <si>
    <t xml:space="preserve">    выдвигавшиеся Единой Россией</t>
  </si>
  <si>
    <t xml:space="preserve">    Единая Россия</t>
  </si>
  <si>
    <t>Муниципальные выборы, местные  референдумы и голосования</t>
  </si>
  <si>
    <t xml:space="preserve">  выборы депутатов (по мажоритарной системе)</t>
  </si>
  <si>
    <t xml:space="preserve">  выборы депутатов (по пропорциональной системе)</t>
  </si>
  <si>
    <t xml:space="preserve">  выборы депутатов (по смешанной системе)</t>
  </si>
  <si>
    <t>29.2.</t>
  </si>
  <si>
    <t xml:space="preserve">  представительных органов (сформированных новых составов)</t>
  </si>
  <si>
    <t xml:space="preserve">  депутатов представительных органов</t>
  </si>
  <si>
    <t>29.3.</t>
  </si>
  <si>
    <t>29.4.</t>
  </si>
  <si>
    <t xml:space="preserve">  повторные или дополнительные выборы депутатов по одному или нескольким округам (не всего состава)</t>
  </si>
  <si>
    <t xml:space="preserve">  от 10 001 до 20 000 жителей</t>
  </si>
  <si>
    <t>12.9.</t>
  </si>
  <si>
    <t>11.9.1.</t>
  </si>
  <si>
    <t>11.9.2.</t>
  </si>
  <si>
    <t>11.11.</t>
  </si>
  <si>
    <t>Главы муниципальных образований, избранные на свои должности (в последний раз):</t>
  </si>
  <si>
    <t xml:space="preserve">  в 2019 - 2020 гг.</t>
  </si>
  <si>
    <t xml:space="preserve">  первый срок </t>
  </si>
  <si>
    <t>13.4.1.*</t>
  </si>
  <si>
    <t>13.4.2.*</t>
  </si>
  <si>
    <t xml:space="preserve">  методом делегирования, в т.ч.</t>
  </si>
  <si>
    <t xml:space="preserve">    по равной норме представительства</t>
  </si>
  <si>
    <t xml:space="preserve">    с применением квот поселений (внутригородских районов)</t>
  </si>
  <si>
    <t>Представительные органы, избранные на муниципальных выборах, по году избрания в действующем составе:</t>
  </si>
  <si>
    <t>13.8.3.</t>
  </si>
  <si>
    <t>13.8.4.</t>
  </si>
  <si>
    <t>13.10.</t>
  </si>
  <si>
    <t>13.10.1.</t>
  </si>
  <si>
    <t>13.10.2.</t>
  </si>
  <si>
    <t>13.10.3.</t>
  </si>
  <si>
    <t>Общее число депутатских мандатов (как замещенных, так и не замещенных) в действующих представительных органах муниципальных образований</t>
  </si>
  <si>
    <t>14.9.</t>
  </si>
  <si>
    <t>14.10.</t>
  </si>
  <si>
    <t>11.7.1.</t>
  </si>
  <si>
    <t>11.7.2.</t>
  </si>
  <si>
    <t>11.7.4.</t>
  </si>
  <si>
    <t>11.7.5.</t>
  </si>
  <si>
    <t>Количество представительных органов муниципальных образований подлежащих формированию (избранию) в соответствии с законодательством</t>
  </si>
  <si>
    <t>Депутаты и депутатские мандаты в представительных органах муниципальных образований</t>
  </si>
  <si>
    <t xml:space="preserve">  начиная с 2004 - 2010 гг.</t>
  </si>
  <si>
    <t xml:space="preserve">  начиная с 2011 - 2015 гг.</t>
  </si>
  <si>
    <t>Представительные органы, формируемые по системе делегирования:</t>
  </si>
  <si>
    <t xml:space="preserve">13.7. </t>
  </si>
  <si>
    <t>13.7.7.</t>
  </si>
  <si>
    <t>13.8.</t>
  </si>
  <si>
    <t>13.9.1.</t>
  </si>
  <si>
    <t>Депутатские мандаты, подлежащие замещению в распущенных или еще не сформированных представительных органах</t>
  </si>
  <si>
    <t xml:space="preserve">  поселений, муниципальных и городских округов (кроме округов с внутригородским делением)</t>
  </si>
  <si>
    <t xml:space="preserve">  межселенных территорий</t>
  </si>
  <si>
    <t xml:space="preserve">  предусмотрено назначение сельских старост</t>
  </si>
  <si>
    <t>2.</t>
  </si>
  <si>
    <t>5.</t>
  </si>
  <si>
    <t xml:space="preserve">  внутригородских районов (в городских округах с делением) и внутригородских муниципальных образований (в городах федерального значения)</t>
  </si>
  <si>
    <t>Контакты (телефон с кодом города, факс, электронная почта)</t>
  </si>
  <si>
    <t xml:space="preserve">  выдвигавшиеся Единой Россией</t>
  </si>
  <si>
    <t xml:space="preserve">  выдвигавшиеся КПРФ</t>
  </si>
  <si>
    <t xml:space="preserve">  выдвигавшиеся ЛДПР</t>
  </si>
  <si>
    <t xml:space="preserve">  выдвигавшиеся Справедливой Россией</t>
  </si>
  <si>
    <t xml:space="preserve">  выдвигавшиеся иными политическими партиями*</t>
  </si>
  <si>
    <t>10.5.</t>
  </si>
  <si>
    <t>Муниципальные образования, в которых полностью или частично создана нормативная база для участия в национальных проектах (программах)</t>
  </si>
  <si>
    <t>10.5.1.</t>
  </si>
  <si>
    <t>10.5.2.</t>
  </si>
  <si>
    <t xml:space="preserve">  второй срок (подряд)</t>
  </si>
  <si>
    <t xml:space="preserve">  третий срок (подряд)</t>
  </si>
  <si>
    <t xml:space="preserve">  четвертый и последующие сроки (подряд)</t>
  </si>
  <si>
    <t xml:space="preserve">  новый срок после перерыва</t>
  </si>
  <si>
    <t>Установленный порядок избрания глав муниципальных образований в соответствии с федеральными законами и законами субъектов Российской Федерации:</t>
  </si>
  <si>
    <t xml:space="preserve">  в связи с увеличением численности населения муниципального образования более чем на 25 процентов при изменении его границ либо преобразовании</t>
  </si>
  <si>
    <t>25.1.</t>
  </si>
  <si>
    <t>Официальные сайты органов местного самоуправления</t>
  </si>
  <si>
    <t>Сайты органов местного самоуправления</t>
  </si>
  <si>
    <t xml:space="preserve">    фракция Единой России</t>
  </si>
  <si>
    <t xml:space="preserve">  полностью расположенные на островах (включая остров Сахалин)</t>
  </si>
  <si>
    <t xml:space="preserve">  7 депутатов</t>
  </si>
  <si>
    <t>Депутаты утративших статус и (или) преобразованных муниципальных образований, продолжающие работу до завершения переходного периода</t>
  </si>
  <si>
    <t>Представительные органы утративших статус и (или) преобразованных муниципальных образований, продолжающие работу до завершения переходного периода</t>
  </si>
  <si>
    <t>Количество муниципальных образований, на территории которых:</t>
  </si>
  <si>
    <t xml:space="preserve">  избраны (назначены) и действуют сельские старосты (не менее одного)</t>
  </si>
  <si>
    <t>Количество существующих муниципальных образований, имеющих заключенные с ТОС соглашения, предусматривающие использование бюджетных средств</t>
  </si>
  <si>
    <t>1.1.2.</t>
  </si>
  <si>
    <t>8.1.</t>
  </si>
  <si>
    <t xml:space="preserve">8.2.* </t>
  </si>
  <si>
    <t>8.3.</t>
  </si>
  <si>
    <t>8.3.1.</t>
  </si>
  <si>
    <t>8.3.2.</t>
  </si>
  <si>
    <t>8.3.3.</t>
  </si>
  <si>
    <t>8.3.4.</t>
  </si>
  <si>
    <t xml:space="preserve">8.4. </t>
  </si>
  <si>
    <t>9.2.</t>
  </si>
  <si>
    <t>9.3.1.*</t>
  </si>
  <si>
    <t>9.3.2.*</t>
  </si>
  <si>
    <t>9.3.4.*</t>
  </si>
  <si>
    <t xml:space="preserve">10. </t>
  </si>
  <si>
    <t>10.1.1.</t>
  </si>
  <si>
    <t>10.1.1.1.</t>
  </si>
  <si>
    <t>10.1.1.2.*</t>
  </si>
  <si>
    <t>10.1.2.</t>
  </si>
  <si>
    <t>10.1.2.1.</t>
  </si>
  <si>
    <t>10.1.3.</t>
  </si>
  <si>
    <t>10.1.3.1.</t>
  </si>
  <si>
    <t>10.1.3.2.</t>
  </si>
  <si>
    <t>10.1.3.3.</t>
  </si>
  <si>
    <t>10.1.4.*</t>
  </si>
  <si>
    <t>10.2.*</t>
  </si>
  <si>
    <t>10.2.1.*</t>
  </si>
  <si>
    <t>10.3.2*.</t>
  </si>
  <si>
    <t>10.4.*</t>
  </si>
  <si>
    <t xml:space="preserve">10.5.3. </t>
  </si>
  <si>
    <t>10.9.1.</t>
  </si>
  <si>
    <t>10.9.2.</t>
  </si>
  <si>
    <t>10.10.*</t>
  </si>
  <si>
    <t>11.</t>
  </si>
  <si>
    <t>11.1.*</t>
  </si>
  <si>
    <t>11.1.1.*</t>
  </si>
  <si>
    <t>11.1.1.1.*</t>
  </si>
  <si>
    <t>11.1.1.3.*</t>
  </si>
  <si>
    <t>11.1.1.4.*</t>
  </si>
  <si>
    <t>11.1.2.*</t>
  </si>
  <si>
    <t>11.1.2.1.*</t>
  </si>
  <si>
    <t>11.4.</t>
  </si>
  <si>
    <t>11.4.1.*</t>
  </si>
  <si>
    <t>11.4.1.1.*</t>
  </si>
  <si>
    <t>11.4.1.2.</t>
  </si>
  <si>
    <t>11.4.1.3.*</t>
  </si>
  <si>
    <t>11.4.2.*</t>
  </si>
  <si>
    <t>11.4.2.1.</t>
  </si>
  <si>
    <t>11.4.2.2.</t>
  </si>
  <si>
    <t xml:space="preserve">11.5. </t>
  </si>
  <si>
    <t>11.5.3.</t>
  </si>
  <si>
    <t xml:space="preserve">11.6. </t>
  </si>
  <si>
    <t>11.6.1.</t>
  </si>
  <si>
    <t>11.6.2.</t>
  </si>
  <si>
    <t>11.6.3.</t>
  </si>
  <si>
    <t xml:space="preserve">11.7. </t>
  </si>
  <si>
    <t>11.7.3.</t>
  </si>
  <si>
    <t>11.9.3.</t>
  </si>
  <si>
    <t>11.9.4.</t>
  </si>
  <si>
    <t>11.9.5.</t>
  </si>
  <si>
    <t>11.10.</t>
  </si>
  <si>
    <t>11.10.1.</t>
  </si>
  <si>
    <t>11.10.2.</t>
  </si>
  <si>
    <t>11.11.3.*</t>
  </si>
  <si>
    <t>12.</t>
  </si>
  <si>
    <t>12.1.1.2.</t>
  </si>
  <si>
    <t>12.1.1.3.</t>
  </si>
  <si>
    <t>12.1.1.6.*</t>
  </si>
  <si>
    <t>12.1.2.2.</t>
  </si>
  <si>
    <t>12.1.4.</t>
  </si>
  <si>
    <t>12.1.4.1.</t>
  </si>
  <si>
    <t>12.1.4.2.</t>
  </si>
  <si>
    <t>12.1.4.3.</t>
  </si>
  <si>
    <t>12.1.4.4.</t>
  </si>
  <si>
    <t>12.1.4.5.</t>
  </si>
  <si>
    <t>12.1.4.6.</t>
  </si>
  <si>
    <t xml:space="preserve">12.2. </t>
  </si>
  <si>
    <t>12.2.1.</t>
  </si>
  <si>
    <t>12.2.2.</t>
  </si>
  <si>
    <t>12.2.3.</t>
  </si>
  <si>
    <t>12.2.4.</t>
  </si>
  <si>
    <t>12.2.4.1.</t>
  </si>
  <si>
    <t>12.2.4.2.</t>
  </si>
  <si>
    <t>12.3.1.</t>
  </si>
  <si>
    <t>12.3.2.</t>
  </si>
  <si>
    <t>12.3.3.</t>
  </si>
  <si>
    <t>12.4.</t>
  </si>
  <si>
    <t>12.6.</t>
  </si>
  <si>
    <t>12.8.</t>
  </si>
  <si>
    <t xml:space="preserve">13. </t>
  </si>
  <si>
    <t>13.1.3.*</t>
  </si>
  <si>
    <t>13.1.4. *</t>
  </si>
  <si>
    <t>13.2.1.*</t>
  </si>
  <si>
    <t>13.2.2.*</t>
  </si>
  <si>
    <t>13.2.3.*</t>
  </si>
  <si>
    <t>13.2.4.*</t>
  </si>
  <si>
    <t>13.3.*</t>
  </si>
  <si>
    <t>13.4.*</t>
  </si>
  <si>
    <t>13.4.3.*</t>
  </si>
  <si>
    <t>13.4.4.*</t>
  </si>
  <si>
    <t>13.4.5.*</t>
  </si>
  <si>
    <t>13.4.6.*</t>
  </si>
  <si>
    <t>13.4.7.*</t>
  </si>
  <si>
    <t>13.4.8.*</t>
  </si>
  <si>
    <t>13.4.9.*</t>
  </si>
  <si>
    <t>13.5.*</t>
  </si>
  <si>
    <t>13.5.1.*</t>
  </si>
  <si>
    <t>13.5.2.*</t>
  </si>
  <si>
    <t>13.5.3.*</t>
  </si>
  <si>
    <t>13.5.4.*</t>
  </si>
  <si>
    <t>13.5.5.*</t>
  </si>
  <si>
    <t>13.5.6.*</t>
  </si>
  <si>
    <t>13.5.7.*</t>
  </si>
  <si>
    <t>13.5.8.*</t>
  </si>
  <si>
    <t>13.5.9.*</t>
  </si>
  <si>
    <t>13.7.5.*</t>
  </si>
  <si>
    <t>13.7.6.*</t>
  </si>
  <si>
    <t>13.8.5.</t>
  </si>
  <si>
    <t>13.9.</t>
  </si>
  <si>
    <t>13.9.2.*</t>
  </si>
  <si>
    <t>14.1.1.*</t>
  </si>
  <si>
    <t>14.1.2.*</t>
  </si>
  <si>
    <t>14.6.*</t>
  </si>
  <si>
    <t>14.7.*</t>
  </si>
  <si>
    <t>15.</t>
  </si>
  <si>
    <t>15.1.</t>
  </si>
  <si>
    <t>15.1.1.</t>
  </si>
  <si>
    <t>15.1.2.</t>
  </si>
  <si>
    <t>15.2.</t>
  </si>
  <si>
    <t>15.3.</t>
  </si>
  <si>
    <t>15.3.1.</t>
  </si>
  <si>
    <t>16.</t>
  </si>
  <si>
    <t>16.2.</t>
  </si>
  <si>
    <t>16.4.</t>
  </si>
  <si>
    <t>16.5.</t>
  </si>
  <si>
    <t>16.6.</t>
  </si>
  <si>
    <t>16.8.*</t>
  </si>
  <si>
    <t>17.1.3.</t>
  </si>
  <si>
    <t>17.1.4.</t>
  </si>
  <si>
    <t>17.3.2.</t>
  </si>
  <si>
    <t>17.3.3.</t>
  </si>
  <si>
    <t>17.3.4.</t>
  </si>
  <si>
    <t>17.4.</t>
  </si>
  <si>
    <t xml:space="preserve">18.4. </t>
  </si>
  <si>
    <t>18.5.*</t>
  </si>
  <si>
    <t>Фактически работающие (без учета п. 18.6) должностные лица</t>
  </si>
  <si>
    <t xml:space="preserve">19. </t>
  </si>
  <si>
    <t>Фактически работающие (без учета п. 19.4)</t>
  </si>
  <si>
    <t>20.1.1.</t>
  </si>
  <si>
    <t>20.1.1.1.</t>
  </si>
  <si>
    <t>20.1.1.2.</t>
  </si>
  <si>
    <t>20.1.2.</t>
  </si>
  <si>
    <t>20.1.2.1.</t>
  </si>
  <si>
    <t>20.1.2.2.</t>
  </si>
  <si>
    <t>20.1.2.3.</t>
  </si>
  <si>
    <t>20.1.3.</t>
  </si>
  <si>
    <t xml:space="preserve">20.1.4. </t>
  </si>
  <si>
    <t>20.1.5.</t>
  </si>
  <si>
    <t>20.1.5.1.</t>
  </si>
  <si>
    <t>20.1.5.2.</t>
  </si>
  <si>
    <t>20.1.5.3.</t>
  </si>
  <si>
    <t>20.1.5.4.</t>
  </si>
  <si>
    <t>20.1.5.5.</t>
  </si>
  <si>
    <t>20.1.5.6.</t>
  </si>
  <si>
    <t>20.2.1.</t>
  </si>
  <si>
    <t>20.2.1.1.</t>
  </si>
  <si>
    <t>20.2.1.2.</t>
  </si>
  <si>
    <t>20.2.2.</t>
  </si>
  <si>
    <t>20.2.2.1.</t>
  </si>
  <si>
    <t>20.2.2.2.</t>
  </si>
  <si>
    <t>20.2.2.3.</t>
  </si>
  <si>
    <t>20.2.3.</t>
  </si>
  <si>
    <t xml:space="preserve">20.2.4. </t>
  </si>
  <si>
    <t>20.2.5.</t>
  </si>
  <si>
    <t>20.2.5.1.</t>
  </si>
  <si>
    <t>20.2.5.2.</t>
  </si>
  <si>
    <t>20.2.5.3.</t>
  </si>
  <si>
    <t>20.2.5.4.</t>
  </si>
  <si>
    <t>20.2.5.5.</t>
  </si>
  <si>
    <t>20.2.5.6.</t>
  </si>
  <si>
    <t>20.3.1.</t>
  </si>
  <si>
    <t>20.3.1.1.</t>
  </si>
  <si>
    <t>20.3.1.2.</t>
  </si>
  <si>
    <t>20.3.2.</t>
  </si>
  <si>
    <t>20.3.2.1.</t>
  </si>
  <si>
    <t>20.3.2.2.</t>
  </si>
  <si>
    <t>20.3.2.3.</t>
  </si>
  <si>
    <t>20.3.3.</t>
  </si>
  <si>
    <t xml:space="preserve">20.3.4. </t>
  </si>
  <si>
    <t>20.3.5.</t>
  </si>
  <si>
    <t>20.3.5.1.</t>
  </si>
  <si>
    <t>20.3.5.2.</t>
  </si>
  <si>
    <t>20.3.5.3.</t>
  </si>
  <si>
    <t>20.3.5.4.</t>
  </si>
  <si>
    <t>20.3.5.5.</t>
  </si>
  <si>
    <t>20.3.5.6.</t>
  </si>
  <si>
    <t>20.4.</t>
  </si>
  <si>
    <t>20.4.1.</t>
  </si>
  <si>
    <t>20.4.1.1.</t>
  </si>
  <si>
    <t>20.4.1.2.</t>
  </si>
  <si>
    <t>20.4.2.</t>
  </si>
  <si>
    <t>20.4.2.1.</t>
  </si>
  <si>
    <t>20.4.2.2.</t>
  </si>
  <si>
    <t>20.4.2.3.</t>
  </si>
  <si>
    <t>20.4.3.</t>
  </si>
  <si>
    <t xml:space="preserve">20.4.4. </t>
  </si>
  <si>
    <t>20.4.5.</t>
  </si>
  <si>
    <t>20.4.5.1.</t>
  </si>
  <si>
    <t>20.4.5.2.</t>
  </si>
  <si>
    <t>20.4.5.3.</t>
  </si>
  <si>
    <t>20.4.5.4.</t>
  </si>
  <si>
    <t>20.4.5.5.</t>
  </si>
  <si>
    <t>20.4.5.6.</t>
  </si>
  <si>
    <t>20.5.</t>
  </si>
  <si>
    <t>20.5.1.</t>
  </si>
  <si>
    <t>20.5.1.1.</t>
  </si>
  <si>
    <t>20.5.1.2.</t>
  </si>
  <si>
    <t>20.5.2.</t>
  </si>
  <si>
    <t>20.5.2.1.</t>
  </si>
  <si>
    <t>20.5.2.2.</t>
  </si>
  <si>
    <t>20.5.2.3.</t>
  </si>
  <si>
    <t>20.5.3.</t>
  </si>
  <si>
    <t xml:space="preserve">20.5.4. </t>
  </si>
  <si>
    <t>20.5.5.</t>
  </si>
  <si>
    <t>20.5.5.1.</t>
  </si>
  <si>
    <t>20.5.5.2.</t>
  </si>
  <si>
    <t>20.5.5.3.</t>
  </si>
  <si>
    <t>20.5.5.4.</t>
  </si>
  <si>
    <t>20.5.5.5.</t>
  </si>
  <si>
    <t>20.5.5.6.</t>
  </si>
  <si>
    <t>20.6.1.</t>
  </si>
  <si>
    <t>20.6.1.1.</t>
  </si>
  <si>
    <t>20.6.1.2.</t>
  </si>
  <si>
    <t>20.6.2.</t>
  </si>
  <si>
    <t>20.6.2.1.</t>
  </si>
  <si>
    <t>20.6.2.2.</t>
  </si>
  <si>
    <t>20.6.2.3.</t>
  </si>
  <si>
    <t>20.6.3.</t>
  </si>
  <si>
    <t xml:space="preserve">20.6.4. </t>
  </si>
  <si>
    <t xml:space="preserve">21. </t>
  </si>
  <si>
    <t>21.1.</t>
  </si>
  <si>
    <t>21.1.1.*</t>
  </si>
  <si>
    <t>21.1.2.*</t>
  </si>
  <si>
    <t>21.1.3.*</t>
  </si>
  <si>
    <t>21.1.4.*</t>
  </si>
  <si>
    <t>21.1.5.*</t>
  </si>
  <si>
    <t>21.1.6.*</t>
  </si>
  <si>
    <t>21.2.</t>
  </si>
  <si>
    <t>21.2.1.</t>
  </si>
  <si>
    <t>21.2.2.</t>
  </si>
  <si>
    <t>21.2.3.*</t>
  </si>
  <si>
    <t>21.2.4.*</t>
  </si>
  <si>
    <t>21.2.5.*</t>
  </si>
  <si>
    <t>21.2.6.*</t>
  </si>
  <si>
    <t>21.2.7.*</t>
  </si>
  <si>
    <t>21.2.8.*</t>
  </si>
  <si>
    <t>21.2.9.*</t>
  </si>
  <si>
    <t xml:space="preserve">21.2.10.* </t>
  </si>
  <si>
    <t>21.3.</t>
  </si>
  <si>
    <t>21.3.1.</t>
  </si>
  <si>
    <t>21.3.2.</t>
  </si>
  <si>
    <t>21.3.4.*</t>
  </si>
  <si>
    <t>21.3.5.*</t>
  </si>
  <si>
    <t>21.3.6.*</t>
  </si>
  <si>
    <t>21.3.7.*</t>
  </si>
  <si>
    <t>21.4.</t>
  </si>
  <si>
    <t>21.4.3.*</t>
  </si>
  <si>
    <t>21.3.3.*</t>
  </si>
  <si>
    <t>21.4.1.*</t>
  </si>
  <si>
    <t>21.4.2.*</t>
  </si>
  <si>
    <t>21.5.</t>
  </si>
  <si>
    <t>21.5.1.*</t>
  </si>
  <si>
    <t>21.5.2.*</t>
  </si>
  <si>
    <t>22.</t>
  </si>
  <si>
    <t>22.1.</t>
  </si>
  <si>
    <t>22.1.1.</t>
  </si>
  <si>
    <t>22.1.2.</t>
  </si>
  <si>
    <t>22.1.3.</t>
  </si>
  <si>
    <t>22.1.4.</t>
  </si>
  <si>
    <t>22.2.</t>
  </si>
  <si>
    <t>22.2.1.</t>
  </si>
  <si>
    <t>22.2.2.</t>
  </si>
  <si>
    <t>22.2.3.</t>
  </si>
  <si>
    <t>22.2.4.</t>
  </si>
  <si>
    <t>22.3.</t>
  </si>
  <si>
    <t>23.</t>
  </si>
  <si>
    <t>25.1.1.</t>
  </si>
  <si>
    <t>24.4.</t>
  </si>
  <si>
    <t>24.5.</t>
  </si>
  <si>
    <t>24.6.</t>
  </si>
  <si>
    <t>25.1.2.*</t>
  </si>
  <si>
    <t>25.1.3.*</t>
  </si>
  <si>
    <t xml:space="preserve">25.2. </t>
  </si>
  <si>
    <t>25.3.*</t>
  </si>
  <si>
    <t>25.4.*</t>
  </si>
  <si>
    <t xml:space="preserve">26. </t>
  </si>
  <si>
    <t>26.1.*</t>
  </si>
  <si>
    <t>26.3.*</t>
  </si>
  <si>
    <t xml:space="preserve">26.4. </t>
  </si>
  <si>
    <t xml:space="preserve">27. </t>
  </si>
  <si>
    <t>27.1.2.</t>
  </si>
  <si>
    <t>27.1.3.</t>
  </si>
  <si>
    <t>27.1.4.</t>
  </si>
  <si>
    <t>27.1.5.</t>
  </si>
  <si>
    <t>27.2.</t>
  </si>
  <si>
    <t>27.2.1.</t>
  </si>
  <si>
    <t>27.2.2.</t>
  </si>
  <si>
    <t>27.2.3.</t>
  </si>
  <si>
    <t>27.3.</t>
  </si>
  <si>
    <t>27.3.1.*</t>
  </si>
  <si>
    <t>27.3.2.*</t>
  </si>
  <si>
    <t>27.5.*</t>
  </si>
  <si>
    <t>28.2.*</t>
  </si>
  <si>
    <t xml:space="preserve">28.3. </t>
  </si>
  <si>
    <t>28.3.1.</t>
  </si>
  <si>
    <t>28.3.2.</t>
  </si>
  <si>
    <t>28.3.3.</t>
  </si>
  <si>
    <t>28.3.5.</t>
  </si>
  <si>
    <t>29.</t>
  </si>
  <si>
    <t>29.5.*</t>
  </si>
  <si>
    <t xml:space="preserve">30.1. </t>
  </si>
  <si>
    <t>30.3.*</t>
  </si>
  <si>
    <t>32.1.</t>
  </si>
  <si>
    <t xml:space="preserve">32.2. </t>
  </si>
  <si>
    <t>32.4.1.</t>
  </si>
  <si>
    <t>32.4.2.</t>
  </si>
  <si>
    <t>32.4.3.</t>
  </si>
  <si>
    <t>32.5.</t>
  </si>
  <si>
    <t>32.5.1.</t>
  </si>
  <si>
    <t>32.5.2.</t>
  </si>
  <si>
    <t>32.5.3.</t>
  </si>
  <si>
    <t>32.7.</t>
  </si>
  <si>
    <t xml:space="preserve">33. </t>
  </si>
  <si>
    <t>33.1.1.</t>
  </si>
  <si>
    <t>33.1.2.</t>
  </si>
  <si>
    <t>33.1.3.</t>
  </si>
  <si>
    <t>33.2.1.</t>
  </si>
  <si>
    <t>33.2.2.</t>
  </si>
  <si>
    <t>33.2.3.</t>
  </si>
  <si>
    <t>33.3.1.</t>
  </si>
  <si>
    <t>33.3.2.</t>
  </si>
  <si>
    <t>33.3.3.</t>
  </si>
  <si>
    <t xml:space="preserve">  более 10 млрд рублей</t>
  </si>
  <si>
    <t>Информация о развитии системы местного самоуправления по состоянию на 1 января 2022 г.</t>
  </si>
  <si>
    <t xml:space="preserve"> по состоянию на начало предыдущего года 
(1 января 2021 г.)</t>
  </si>
  <si>
    <t>в.т.ч. столицы 
и администра-тивные центры субъектов Российской Федерации</t>
  </si>
  <si>
    <t>Городские округа 
с делением</t>
  </si>
  <si>
    <t xml:space="preserve">  от 101 до 1 000 жителей</t>
  </si>
  <si>
    <t xml:space="preserve">  от 1 001 до 10 000 жителей</t>
  </si>
  <si>
    <t>3.2.3.*</t>
  </si>
  <si>
    <t xml:space="preserve">  от 20 001 до 50 000 жителей</t>
  </si>
  <si>
    <t xml:space="preserve">  от 100 001 до 1 млн жителей</t>
  </si>
  <si>
    <t xml:space="preserve">  не менее 2/3 населения проживают в городских населенных пунктах</t>
  </si>
  <si>
    <t xml:space="preserve">  территории городских населенных пунктов составляют не менее 1/3 территории муниципального образования</t>
  </si>
  <si>
    <t xml:space="preserve">  плотность населения от 42,5 чел. на кв.км. 
(в 5 и более раз больше чем средняя по России)</t>
  </si>
  <si>
    <t xml:space="preserve">   на приграничных территориях (в пограничной зоне, определяемой ФСБ России согласно Закону №4731-1)</t>
  </si>
  <si>
    <t xml:space="preserve">    на территориях опережающего социально-экономического развития (созданных Пр-вом РФ согл. ст. 3 Федерального закона от 29.12.2004 №473-ФЗ) </t>
  </si>
  <si>
    <t xml:space="preserve">    на территориях свободных портов (согласно ст.4 Федерального закона от 13 июля 2005 г. № 212-ФЗ)</t>
  </si>
  <si>
    <t xml:space="preserve">    на территориях Арктической зоны (согласно ст.2 Федерального закона от 13 июля 2020 г. № 193-ФЗ)</t>
  </si>
  <si>
    <t xml:space="preserve">    на территориях традиционного природопользования (согл. Федеральному закону от 7 мая 2001 г. № 49-ФЗ)</t>
  </si>
  <si>
    <t xml:space="preserve">5.2. </t>
  </si>
  <si>
    <t>5.3.</t>
  </si>
  <si>
    <t xml:space="preserve">  наукограды (согл. Федеральному закону от 7 апреля 1999 г. № 70-ФЗ)</t>
  </si>
  <si>
    <t>Муниципальные образования с монопрофильной экономикой (моногорода) (согласно распоряжению Правительства РФ от 29 июля 2014 г. № 1398-р)</t>
  </si>
  <si>
    <t xml:space="preserve">    разделения муниципальных образований 
(с образованием на его месте двух или нескольких новых муниципальных образований)</t>
  </si>
  <si>
    <t xml:space="preserve">8.7. </t>
  </si>
  <si>
    <t>8.5.</t>
  </si>
  <si>
    <t xml:space="preserve">8.6. </t>
  </si>
  <si>
    <t xml:space="preserve">8.8. </t>
  </si>
  <si>
    <t>Муниципальные образования, в которых в 2021 г. осуществлялась оценка воздействия регулирующего воздействия отдельных проектов муниципальных правовых актов</t>
  </si>
  <si>
    <t>Муниципальные образования, в которых законами и муниципальными правовыми актами в 2021 г. было предусмотрено проведение оценки регулирующего воздействия отдельных проектов муниципальных правовых актов</t>
  </si>
  <si>
    <t>`</t>
  </si>
  <si>
    <t xml:space="preserve">8.6.1. </t>
  </si>
  <si>
    <t>8.6.1.1.</t>
  </si>
  <si>
    <t>8.6.1.2.</t>
  </si>
  <si>
    <t>8.6.1.3.</t>
  </si>
  <si>
    <t>8.6.1.4.</t>
  </si>
  <si>
    <t xml:space="preserve">    в правилах благоустойства отсутствуют обязательные требования к нестационарным торговым объектам сверх предусмотренных действующим законодательством</t>
  </si>
  <si>
    <t xml:space="preserve">    изменения в правила благоустойства муниципальных образований, затрагивающие вопросы 8.6.1.1 - 8.6.1.4, вносились в 2021 году</t>
  </si>
  <si>
    <t>Муниципальные образования, в которых реализованы положения отдельных решений Конституционного Суда Российской Федерации:</t>
  </si>
  <si>
    <t>Муниципальные образования, в которых были приняты местные бюджеты на 2021 год</t>
  </si>
  <si>
    <t>Муниципальные образования с доходами за 2021 год, закрепленными в местном бюджете:</t>
  </si>
  <si>
    <t xml:space="preserve">  от 1 до 10 млн. рублей</t>
  </si>
  <si>
    <t xml:space="preserve">  от 10 до 100 млн. рублей</t>
  </si>
  <si>
    <t xml:space="preserve">  от 100 млн до 1 млрд рублей</t>
  </si>
  <si>
    <t xml:space="preserve">  от 1 до 10 млрд рублей</t>
  </si>
  <si>
    <t>Муниципальные образования - участники бюджетного процесса в 2021 году</t>
  </si>
  <si>
    <t>Муниципальные образования, в которых в 2021 г. вводилась или действовала введенная ранее временная финансовая администрация</t>
  </si>
  <si>
    <t>9.3.3.</t>
  </si>
  <si>
    <t>9.3.5.*</t>
  </si>
  <si>
    <t xml:space="preserve">9.3.6.* </t>
  </si>
  <si>
    <t>9.4.</t>
  </si>
  <si>
    <t>9.4.1.</t>
  </si>
  <si>
    <t>9.4.2.</t>
  </si>
  <si>
    <t>9.4.3.</t>
  </si>
  <si>
    <t xml:space="preserve">9.5.* </t>
  </si>
  <si>
    <t>Сведения об осуществлении отдельных полномочий органами местного самоуправления муниципальных образований в 2021 финансовом году</t>
  </si>
  <si>
    <t xml:space="preserve">    по составлению списков кандидатов в присяжные заседатели (ст.4, ст.5 Федерального закона от 20 апреля 2004 г. № 113-ФЗ)</t>
  </si>
  <si>
    <t xml:space="preserve">    по первичному воинскому учету (там, где нет военных комиссариатов) (ст. 8 Федерального закона 
от 28 марта 1998 г. № 53-ФЗ)</t>
  </si>
  <si>
    <t xml:space="preserve">   по составлению списков кандидатов в присяжные заседатели (для городов федерального значения) (ст.5.1 Федерального закона от 20 апреля 2004 г. №113-ФЗ)</t>
  </si>
  <si>
    <t xml:space="preserve">  в т.ч. полномочия по распоряжению земельными участками, государственная собственность на которые не разграничена (ст. 3.3 Федерального закона от 25 октября 2001 г. № 137-ФЗ)</t>
  </si>
  <si>
    <t>Муниципальные образования, органы местного самоуправления которых не осуществляли в 2021 году часть полномочий, изначально закрепленных за ними федеральными законами, в связи с их перераспре-делением (в соответствии с ч. 1.2 ст. 17 Федерального закона № 131-ФЗ и законом субъекта РФ)</t>
  </si>
  <si>
    <t xml:space="preserve">    отдельные полномочия в административно-правовой сфере (включая создание административных комиссий и составление протоколов об административных правонарушениях, создание комиссий по делам несовершеннолетних и защите их прав и др.)</t>
  </si>
  <si>
    <t>10.1.3.1.1.</t>
  </si>
  <si>
    <t xml:space="preserve">    в т.ч. переданные муниципальным районам и городским округам с внутригородским делением полномочий по выравниванию бюджетной обеспеченности поселений и внутригородских районов</t>
  </si>
  <si>
    <t xml:space="preserve">  федеральные полномочия, делегированные субъектам Российской Федерации в соответствии с Федеральным законом от 6 октября 1999 г. № 184-ФЗ (и обеспеченные субвенциями из федерального бюджета), а затем переданные ими (в порядке "субделегирования") органам местного самоуправления согласно ст. 17 Федерального закона от 6 октября 2003 г. № 131-ФЗ (хотя бы одно из нижеперечисленных), в т.ч.:</t>
  </si>
  <si>
    <t>Общая численность муниципальных образований:</t>
  </si>
  <si>
    <t xml:space="preserve">    по проведению Всероссийской переписи населения (Федеральный закон от 25 января 2002 г. № 8-ФЗ), Всероссийской сельскохозяйственной переписи (Федеральный закон от 21 июля 2005 г. № 108-ФЗ)</t>
  </si>
  <si>
    <t xml:space="preserve">    по регистрации актов гражданского состояния (Федеральный закон от 15 ноября 1997 г. № 143-ФЗ) </t>
  </si>
  <si>
    <t>10.1.2.2.</t>
  </si>
  <si>
    <t>10.1.2.3.*</t>
  </si>
  <si>
    <t xml:space="preserve">    по предоставлению социальных гарантий (обеспечение жильем, оплата жилищно-коммунальных услуг, компенсационные выплаты и др.) отдельным категориям граждан, в т.ч.:</t>
  </si>
  <si>
    <t>10.1.2.4.</t>
  </si>
  <si>
    <t xml:space="preserve">10.1.2.4.1. </t>
  </si>
  <si>
    <t xml:space="preserve">    гражданам, имеющим детей (согласно федеральным законам от 19 мая 1995 г. № 81-ФЗ, от 28 декабря 2017 г. № 418-ФЗ)</t>
  </si>
  <si>
    <t xml:space="preserve">10.1.2.4.2. </t>
  </si>
  <si>
    <t xml:space="preserve">10.1.2.4.3. </t>
  </si>
  <si>
    <t xml:space="preserve">10.1.2.4.4. </t>
  </si>
  <si>
    <t xml:space="preserve">    инвалидам (согласно Федеральному закону от 24 ноября 1995 г. № 181-ФЗ и ст. 17 Федерального закона от 25 апреля 2002 г. № 40-ФЗ)</t>
  </si>
  <si>
    <t>10.1.2.4.5.</t>
  </si>
  <si>
    <t xml:space="preserve">     пострадавшим вследствие Чернобыльской катастрофы (Закон РФ от 15 мая 1991 г. № 1244-1), аварии на ПО Маяк (от 26 ноября 1998 г. № 175-ФЗ ), а также испытаний на Семипалатинском полигоне (Федеральный закон от 10 января 2002 г. № 2-ФЗ)</t>
  </si>
  <si>
    <t xml:space="preserve">10.1.2.4.6. </t>
  </si>
  <si>
    <t xml:space="preserve">10.1.2.4.7. </t>
  </si>
  <si>
    <t xml:space="preserve">    при поствакцинальных осложнениях (согласно Федеральному закону от 17 сентября 1998 г. № 157-ФЗ)</t>
  </si>
  <si>
    <t xml:space="preserve">  только от муниципального района поселению (поселениям)</t>
  </si>
  <si>
    <t xml:space="preserve">  только от поселения (поселений) муниципальному району</t>
  </si>
  <si>
    <t xml:space="preserve">  от муниципального района поселению (поселениям) 
и от поселения (поселений) муниципальному району одновременно (в рамках одного соглашения)</t>
  </si>
  <si>
    <t>Муниципальные образования, органы местного самоуправления которых принимали в 2021 г. организационное и финансовое участие в реализации национальных проектов (программ), а также региональных проектов, направленных на реализацию национальных проектов (программ) в т.ч. по направлениям:</t>
  </si>
  <si>
    <t>Муниципальные образования, в которых органы местного самоуправления совершали нотариальные действия 
в 2021 году в связи с отсутствием нотариуса</t>
  </si>
  <si>
    <t>Муниципальные образования, в которых было предусмотрено (возможно) совершение органами местного самоуправления нотариальных действий 
в 2021 году в случае отсутствия нотариуса</t>
  </si>
  <si>
    <t>10.11.*</t>
  </si>
  <si>
    <t>10.12.</t>
  </si>
  <si>
    <t>10.12.12.</t>
  </si>
  <si>
    <t>10.12.1.</t>
  </si>
  <si>
    <t>10.12.2.</t>
  </si>
  <si>
    <t>10.12.3.</t>
  </si>
  <si>
    <t>10.12.4.</t>
  </si>
  <si>
    <t>10.12.5.</t>
  </si>
  <si>
    <t>10.12.6.</t>
  </si>
  <si>
    <t>10.12.7.</t>
  </si>
  <si>
    <t>10.12.8.</t>
  </si>
  <si>
    <t>10.12.9.</t>
  </si>
  <si>
    <t>10.12.10.</t>
  </si>
  <si>
    <t>10.12.11.</t>
  </si>
  <si>
    <t>10.6.</t>
  </si>
  <si>
    <t>10.8.</t>
  </si>
  <si>
    <t>Поселения, осуществлявшие в 2021 году часть полномочий муниципальных районов согласно соглашениям между органами местного самоуправления</t>
  </si>
  <si>
    <t>Муниципальные районы, осуществлявшие в 2021 году часть полномочий поселений согласно соглашениям между органами местного самоуправления</t>
  </si>
  <si>
    <t xml:space="preserve">   в т.ч. полномочий по утверждению и исполнению бюджета поселения</t>
  </si>
  <si>
    <t xml:space="preserve">  всех полномочий по решению вопросов местного значения поселений</t>
  </si>
  <si>
    <t>Поселения, часть полномочий которых осуществлялась в 2021 году муниципальными районами согласно соглашениям между органами местного самоуправления</t>
  </si>
  <si>
    <t>Муниципальные районы, часть полномочий которых осуществлялась в 2021 году поселениями согласно соглашениям между органами местного самоуправления</t>
  </si>
  <si>
    <t>10.9.3.</t>
  </si>
  <si>
    <t xml:space="preserve">  11 и более полномочий по решению вопросов местного значения</t>
  </si>
  <si>
    <r>
      <t xml:space="preserve">Всего                 </t>
    </r>
    <r>
      <rPr>
        <b/>
        <sz val="9"/>
        <color theme="1"/>
        <rFont val="Calibri"/>
        <family val="2"/>
        <charset val="204"/>
        <scheme val="minor"/>
      </rPr>
      <t>(суммарно 
по всем муни-ципальным образованиям)</t>
    </r>
  </si>
  <si>
    <t xml:space="preserve">  начиная с 2016 - 2021 гг.</t>
  </si>
  <si>
    <t xml:space="preserve">  в 2017 - 2018 гг. (или ранее)</t>
  </si>
  <si>
    <t xml:space="preserve">  в 2021 г.</t>
  </si>
  <si>
    <t xml:space="preserve">  11-20 депутатов</t>
  </si>
  <si>
    <t xml:space="preserve">  21-30 депутатов</t>
  </si>
  <si>
    <t xml:space="preserve">  31-50 депутатов</t>
  </si>
  <si>
    <t>11.7.6.*</t>
  </si>
  <si>
    <t xml:space="preserve">  51 и более депутатов</t>
  </si>
  <si>
    <t>11.8.6.*</t>
  </si>
  <si>
    <t xml:space="preserve">  7 или менее депутатов</t>
  </si>
  <si>
    <t xml:space="preserve">  51 или более депутатов</t>
  </si>
  <si>
    <t xml:space="preserve">11.8. </t>
  </si>
  <si>
    <t>11.8.1.</t>
  </si>
  <si>
    <t>11.8.2.</t>
  </si>
  <si>
    <t>11.8.3.</t>
  </si>
  <si>
    <t>11.8.4.</t>
  </si>
  <si>
    <t>11.8.5.</t>
  </si>
  <si>
    <t xml:space="preserve">  политической партии Справедливая Россия - За правду</t>
  </si>
  <si>
    <t xml:space="preserve">  политической партии Новые Люди</t>
  </si>
  <si>
    <t>11.9.6.*</t>
  </si>
  <si>
    <t>11.9.</t>
  </si>
  <si>
    <t>11.10.3.*</t>
  </si>
  <si>
    <t>11.11.1.*</t>
  </si>
  <si>
    <t>11.11.2.*</t>
  </si>
  <si>
    <t>11.12.*</t>
  </si>
  <si>
    <t>11.13.</t>
  </si>
  <si>
    <t>11.13.1</t>
  </si>
  <si>
    <t xml:space="preserve">  в т.ч с участием депутатов (части или всего состава) в режиме видеоконференцсвязи</t>
  </si>
  <si>
    <t xml:space="preserve">    избранные по спискам Новых Людей</t>
  </si>
  <si>
    <t>12.1.1.4</t>
  </si>
  <si>
    <t>12.1.1.5.</t>
  </si>
  <si>
    <t>12.1.1.7.*</t>
  </si>
  <si>
    <t xml:space="preserve">    избранные по спискам Справедливой России - За правду</t>
  </si>
  <si>
    <t>12.1.2.4.</t>
  </si>
  <si>
    <t xml:space="preserve">    выдвигавшиеся Справедливой Россией - За правду</t>
  </si>
  <si>
    <t xml:space="preserve">    выдвигавшиеся Новыми Людьми</t>
  </si>
  <si>
    <t>12.1.2.5</t>
  </si>
  <si>
    <t>12.1.2.6.*</t>
  </si>
  <si>
    <t>12.1.2.7</t>
  </si>
  <si>
    <t>12.1.2.8.</t>
  </si>
  <si>
    <t xml:space="preserve">    фракция Справедливой России - За правду</t>
  </si>
  <si>
    <t xml:space="preserve">    фракция Новых Людей</t>
  </si>
  <si>
    <t>12.1.4.7.</t>
  </si>
  <si>
    <t>Действующие главы, возглавляющие данное муниципальное образование (к началу 2022 г.):</t>
  </si>
  <si>
    <t>13.11.*</t>
  </si>
  <si>
    <t>13.11.1.*</t>
  </si>
  <si>
    <t>13.11.2.*</t>
  </si>
  <si>
    <t>13.11.3.*</t>
  </si>
  <si>
    <t>Общее количество глав муниципальных образований 
(с поправкой на возможное совмещение статуса)</t>
  </si>
  <si>
    <t>13.12.</t>
  </si>
  <si>
    <t>13.13.*</t>
  </si>
  <si>
    <t>13.14.</t>
  </si>
  <si>
    <t>13.14.1.*</t>
  </si>
  <si>
    <t>13.14.2.*</t>
  </si>
  <si>
    <t>13.15.*</t>
  </si>
  <si>
    <t>Фактически работающие муниципальные служащие (без учета п. 17.4), в т.ч.</t>
  </si>
  <si>
    <t xml:space="preserve">  внутригородские муниципальные образования, в которых местные администрации не формируются  в соответствии с законами субъектов Российской Федерации - городов федерального значения</t>
  </si>
  <si>
    <t>Муниципальные образования, в которых местные администрации фактически не сформированы либо ликвидированы в том числе:</t>
  </si>
  <si>
    <t>14.2.1.*</t>
  </si>
  <si>
    <t>14.2.2.*</t>
  </si>
  <si>
    <t>14.2.</t>
  </si>
  <si>
    <t>14.4.</t>
  </si>
  <si>
    <t xml:space="preserve">14.3. </t>
  </si>
  <si>
    <t>14.3.1.</t>
  </si>
  <si>
    <t>14.3.2.</t>
  </si>
  <si>
    <t xml:space="preserve">14.5. </t>
  </si>
  <si>
    <t>14.8.*</t>
  </si>
  <si>
    <t>14.9.1.</t>
  </si>
  <si>
    <t>14.9.2.</t>
  </si>
  <si>
    <t>14.11.</t>
  </si>
  <si>
    <t>Работники органов местного самоуправления, не являющиеся депутатами, должностными лицами местного самоуправления либо муниципальными служащими (включая т.н."обслуживающий персонал")</t>
  </si>
  <si>
    <t xml:space="preserve">    Справедливая Россия - За правду</t>
  </si>
  <si>
    <t xml:space="preserve">    Новые Люди</t>
  </si>
  <si>
    <t>20.1.5.7.</t>
  </si>
  <si>
    <t>20.2.5.7.</t>
  </si>
  <si>
    <t>20.3.5.7.</t>
  </si>
  <si>
    <t>20.5.5.7.</t>
  </si>
  <si>
    <t>20.4.5.7.</t>
  </si>
  <si>
    <t>Случаи отмены (пересмотра) в судебном порядке решений о досрочном прекращении полномочий органов и должностных лиц местного самоуправления в 2021 году:</t>
  </si>
  <si>
    <t>Объем средств, собранных в 2021 году (рублей)</t>
  </si>
  <si>
    <t>Объем инициативных платежей, собранных в 2021 году (рублей)</t>
  </si>
  <si>
    <t>Число муниципальных образований, где в 2021 году органами местного самоуправления рассматривались инициативные проекты (в т.ч. в рамках региональных и муниципальных программ поддержки местных инициатив)</t>
  </si>
  <si>
    <t>Муниципальные выборы, проведенные в 2021 году, в т.ч.</t>
  </si>
  <si>
    <t xml:space="preserve">  выборы глав муниципальных образований 
(в т.ч. повторное голосование - т.н. "второй тур")</t>
  </si>
  <si>
    <t>Местные референдумы, проведенные в 2021 году, в т.ч.</t>
  </si>
  <si>
    <t>Сходы граждан, проведенные в 2021 году поэтапно 
(в несколько этапов)</t>
  </si>
  <si>
    <t>Сходы граждан, проведенные в 2021 году в соотв. со ст. 25 и 25.1 Федерального закона № 131-ФЗ:</t>
  </si>
  <si>
    <t>Количество собраний граждан, проведенных в соответствии с законодательством о местном самоуправлении в 2021 году</t>
  </si>
  <si>
    <t>Количество конференций граждан (делегатов) в 2021 году</t>
  </si>
  <si>
    <t>Количество публичных слушаний в 2021 году</t>
  </si>
  <si>
    <t>Количество общественных обсуждений в 2021 году</t>
  </si>
  <si>
    <t>Количество опросов граждан, проведенных в соответствии срешениями органов местного самоуправления в 2021 году</t>
  </si>
  <si>
    <t>Инициативы, внесенные в 2021 году</t>
  </si>
  <si>
    <t>Инициативы, рассмотренные в 2021 году</t>
  </si>
  <si>
    <t>Инициативы, реализованные в виде принятых правовых актов или поправок к ним в 2021 году</t>
  </si>
  <si>
    <t>Количество муниципальных образований - участников бюджетного процесса, предоставлявших субсидии и (или) гранты ТОСам в 2021 г.</t>
  </si>
  <si>
    <t xml:space="preserve">  сельские старосты получали в 2021 г. средства на компенсацию расходов из бюджетов</t>
  </si>
  <si>
    <r>
      <t xml:space="preserve">  S </t>
    </r>
    <r>
      <rPr>
        <sz val="11"/>
        <rFont val="Calibri"/>
        <family val="2"/>
        <charset val="204"/>
      </rPr>
      <t xml:space="preserve">≤ 1 кв. км. </t>
    </r>
  </si>
  <si>
    <r>
      <t xml:space="preserve">  1 кв. км </t>
    </r>
    <r>
      <rPr>
        <sz val="11"/>
        <rFont val="Calibri"/>
        <family val="2"/>
        <charset val="204"/>
      </rPr>
      <t>&lt; S ≤</t>
    </r>
    <r>
      <rPr>
        <sz val="9.35"/>
        <rFont val="Calibri"/>
        <family val="2"/>
        <charset val="204"/>
      </rPr>
      <t xml:space="preserve"> 10 кв. км. </t>
    </r>
  </si>
  <si>
    <r>
      <t xml:space="preserve">  10 кв. км </t>
    </r>
    <r>
      <rPr>
        <sz val="11"/>
        <rFont val="Calibri"/>
        <family val="2"/>
        <charset val="204"/>
      </rPr>
      <t>&lt; S ≤</t>
    </r>
    <r>
      <rPr>
        <sz val="9.35"/>
        <rFont val="Calibri"/>
        <family val="2"/>
        <charset val="204"/>
      </rPr>
      <t xml:space="preserve"> 100 кв. км. </t>
    </r>
  </si>
  <si>
    <r>
      <t xml:space="preserve">  100 кв. км </t>
    </r>
    <r>
      <rPr>
        <sz val="11"/>
        <rFont val="Calibri"/>
        <family val="2"/>
        <charset val="204"/>
      </rPr>
      <t>&lt; S ≤</t>
    </r>
    <r>
      <rPr>
        <sz val="9.35"/>
        <rFont val="Calibri"/>
        <family val="2"/>
        <charset val="204"/>
      </rPr>
      <t xml:space="preserve"> 1 тыс. кв. км. </t>
    </r>
  </si>
  <si>
    <r>
      <t xml:space="preserve">  1 тыс. кв. км </t>
    </r>
    <r>
      <rPr>
        <sz val="11"/>
        <rFont val="Calibri"/>
        <family val="2"/>
        <charset val="204"/>
      </rPr>
      <t>&lt; S ≤</t>
    </r>
    <r>
      <rPr>
        <sz val="9.35"/>
        <rFont val="Calibri"/>
        <family val="2"/>
        <charset val="204"/>
      </rPr>
      <t xml:space="preserve"> 10 тыс. кв. км. </t>
    </r>
  </si>
  <si>
    <r>
      <t xml:space="preserve">  10 тыс. кв. км </t>
    </r>
    <r>
      <rPr>
        <sz val="11"/>
        <rFont val="Calibri"/>
        <family val="2"/>
        <charset val="204"/>
      </rPr>
      <t>&lt; S ≤</t>
    </r>
    <r>
      <rPr>
        <sz val="9.35"/>
        <rFont val="Calibri"/>
        <family val="2"/>
        <charset val="204"/>
      </rPr>
      <t xml:space="preserve"> 100 тыс. кв. км. </t>
    </r>
  </si>
  <si>
    <r>
      <t xml:space="preserve">Муниципальные районы, муниципальные и городские округа, </t>
    </r>
    <r>
      <rPr>
        <u/>
        <sz val="11"/>
        <rFont val="Calibri"/>
        <family val="2"/>
        <charset val="204"/>
        <scheme val="minor"/>
      </rPr>
      <t>соответствующие</t>
    </r>
    <r>
      <rPr>
        <sz val="11"/>
        <rFont val="Calibri"/>
        <family val="2"/>
        <charset val="204"/>
        <scheme val="minor"/>
      </rPr>
      <t xml:space="preserve"> следующим критериям городского округа:</t>
    </r>
  </si>
  <si>
    <r>
      <t xml:space="preserve"> Муниципальные образования одновременно соответствующие </t>
    </r>
    <r>
      <rPr>
        <u/>
        <sz val="11"/>
        <rFont val="Calibri"/>
        <family val="2"/>
        <charset val="204"/>
        <scheme val="minor"/>
      </rPr>
      <t>всем трем</t>
    </r>
    <r>
      <rPr>
        <sz val="11"/>
        <rFont val="Calibri"/>
        <family val="2"/>
        <charset val="204"/>
        <scheme val="minor"/>
      </rPr>
      <t xml:space="preserve"> вышеназванным критериям городского округа</t>
    </r>
  </si>
  <si>
    <r>
      <t>Изменения территориальной организации местного самоуправления в 2021 году</t>
    </r>
    <r>
      <rPr>
        <sz val="11"/>
        <rFont val="Calibri"/>
        <family val="2"/>
        <charset val="204"/>
        <scheme val="minor"/>
      </rPr>
      <t xml:space="preserve"> (согл. законам субъектов РФ, вступившим в силу с 02.01.2021 по 01.01.2022):</t>
    </r>
  </si>
  <si>
    <r>
      <t xml:space="preserve">  пункта 4 статьи 136 - дотации и поступления по дополнительным нормативам отчислений составляли </t>
    </r>
    <r>
      <rPr>
        <u/>
        <sz val="11"/>
        <rFont val="Calibri"/>
        <family val="2"/>
        <charset val="204"/>
        <scheme val="minor"/>
      </rPr>
      <t>более 50 процентов</t>
    </r>
    <r>
      <rPr>
        <sz val="11"/>
        <rFont val="Calibri"/>
        <family val="2"/>
        <charset val="204"/>
        <scheme val="minor"/>
      </rPr>
      <t xml:space="preserve"> доходов местного бюджета за 2 из 3 последних отчетных финансовых лет</t>
    </r>
  </si>
  <si>
    <r>
      <t xml:space="preserve">Муниципальные образования, органы местного самоуправления которых </t>
    </r>
    <r>
      <rPr>
        <u/>
        <sz val="11"/>
        <rFont val="Calibri"/>
        <family val="2"/>
        <charset val="204"/>
        <scheme val="minor"/>
      </rPr>
      <t>не осуществляли</t>
    </r>
    <r>
      <rPr>
        <sz val="11"/>
        <rFont val="Calibri"/>
        <family val="2"/>
        <charset val="204"/>
        <scheme val="minor"/>
      </rPr>
      <t xml:space="preserve"> в 2021 году какие-либо государственные полномочия, обеспеченные субвенциями</t>
    </r>
  </si>
  <si>
    <r>
      <t xml:space="preserve">Количество </t>
    </r>
    <r>
      <rPr>
        <u/>
        <sz val="11"/>
        <rFont val="Calibri"/>
        <family val="2"/>
        <charset val="204"/>
        <scheme val="minor"/>
      </rPr>
      <t>действующих</t>
    </r>
    <r>
      <rPr>
        <sz val="11"/>
        <rFont val="Calibri"/>
        <family val="2"/>
        <charset val="204"/>
        <scheme val="minor"/>
      </rPr>
      <t xml:space="preserve"> представительных органов по </t>
    </r>
    <r>
      <rPr>
        <u/>
        <sz val="11"/>
        <rFont val="Calibri"/>
        <family val="2"/>
        <charset val="204"/>
        <scheme val="minor"/>
      </rPr>
      <t>установленной</t>
    </r>
    <r>
      <rPr>
        <sz val="11"/>
        <rFont val="Calibri"/>
        <family val="2"/>
        <charset val="204"/>
        <scheme val="minor"/>
      </rPr>
      <t xml:space="preserve"> (для избранных на выборах - на момент избрания) численности депутатов:</t>
    </r>
  </si>
  <si>
    <r>
      <t xml:space="preserve">Количество действующих представительных органов согласно </t>
    </r>
    <r>
      <rPr>
        <u/>
        <sz val="11"/>
        <rFont val="Calibri"/>
        <family val="2"/>
        <charset val="204"/>
        <scheme val="minor"/>
      </rPr>
      <t>фактической</t>
    </r>
    <r>
      <rPr>
        <sz val="11"/>
        <rFont val="Calibri"/>
        <family val="2"/>
        <charset val="204"/>
        <scheme val="minor"/>
      </rPr>
      <t xml:space="preserve"> численности депутатов:</t>
    </r>
  </si>
  <si>
    <r>
      <t xml:space="preserve">Вакантные депутатские мандаты в </t>
    </r>
    <r>
      <rPr>
        <u/>
        <sz val="11"/>
        <rFont val="Calibri"/>
        <family val="2"/>
        <charset val="204"/>
        <scheme val="minor"/>
      </rPr>
      <t xml:space="preserve">действующих </t>
    </r>
    <r>
      <rPr>
        <sz val="11"/>
        <rFont val="Calibri"/>
        <family val="2"/>
        <charset val="204"/>
        <scheme val="minor"/>
      </rPr>
      <t>представительных органах, подлежащие замещению</t>
    </r>
  </si>
  <si>
    <r>
      <t xml:space="preserve">Главы муниципальных образований, избранные </t>
    </r>
    <r>
      <rPr>
        <u/>
        <sz val="11"/>
        <rFont val="Calibri"/>
        <family val="2"/>
        <charset val="204"/>
        <scheme val="minor"/>
      </rPr>
      <t>на муниципальных выборах,</t>
    </r>
    <r>
      <rPr>
        <sz val="11"/>
        <rFont val="Calibri"/>
        <family val="2"/>
        <charset val="204"/>
        <scheme val="minor"/>
      </rPr>
      <t xml:space="preserve"> по субъекту выдвижения на последних выборах:</t>
    </r>
  </si>
  <si>
    <r>
      <t xml:space="preserve">  учредителями муниципальных учреждений (</t>
    </r>
    <r>
      <rPr>
        <u/>
        <sz val="11"/>
        <rFont val="Calibri"/>
        <family val="2"/>
        <charset val="204"/>
        <scheme val="minor"/>
      </rPr>
      <t>без учета</t>
    </r>
    <r>
      <rPr>
        <sz val="11"/>
        <rFont val="Calibri"/>
        <family val="2"/>
        <charset val="204"/>
        <scheme val="minor"/>
      </rPr>
      <t xml:space="preserve"> органов местного самоуправления, имеющих статус юридических лиц)</t>
    </r>
  </si>
  <si>
    <r>
      <t xml:space="preserve">Количество действующих </t>
    </r>
    <r>
      <rPr>
        <u/>
        <sz val="11"/>
        <rFont val="Calibri"/>
        <family val="2"/>
        <charset val="204"/>
        <scheme val="minor"/>
      </rPr>
      <t>муниципальных образований,</t>
    </r>
    <r>
      <rPr>
        <sz val="11"/>
        <rFont val="Calibri"/>
        <family val="2"/>
        <charset val="204"/>
        <scheme val="minor"/>
      </rPr>
      <t xml:space="preserve"> являющихся участниками (в т.ч. опосредованно - через органы местного самоуправления):</t>
    </r>
  </si>
  <si>
    <r>
      <t xml:space="preserve">Количество муниципальных образований, </t>
    </r>
    <r>
      <rPr>
        <u/>
        <sz val="11"/>
        <rFont val="Calibri"/>
        <family val="2"/>
        <charset val="204"/>
        <scheme val="minor"/>
      </rPr>
      <t>не являющихся</t>
    </r>
    <r>
      <rPr>
        <sz val="11"/>
        <rFont val="Calibri"/>
        <family val="2"/>
        <charset val="204"/>
        <scheme val="minor"/>
      </rPr>
      <t xml:space="preserve"> учредителями либо участниками каких-либо организаций</t>
    </r>
  </si>
  <si>
    <r>
      <t xml:space="preserve">Количество </t>
    </r>
    <r>
      <rPr>
        <u/>
        <sz val="11"/>
        <rFont val="Calibri"/>
        <family val="2"/>
        <charset val="204"/>
        <scheme val="minor"/>
      </rPr>
      <t>муниципальных образований</t>
    </r>
    <r>
      <rPr>
        <sz val="11"/>
        <rFont val="Calibri"/>
        <family val="2"/>
        <charset val="204"/>
        <scheme val="minor"/>
      </rPr>
      <t>, уставами или иными актами которых предусмотрено создание общественных палат (советов) муниципальных образований и (или) общественных советов при органах местного самоуправления</t>
    </r>
  </si>
  <si>
    <r>
      <t xml:space="preserve">Количество </t>
    </r>
    <r>
      <rPr>
        <u/>
        <sz val="11"/>
        <rFont val="Calibri"/>
        <family val="2"/>
        <charset val="204"/>
        <scheme val="minor"/>
      </rPr>
      <t>муниципальных образований</t>
    </r>
    <r>
      <rPr>
        <sz val="11"/>
        <rFont val="Calibri"/>
        <family val="2"/>
        <charset val="204"/>
        <scheme val="minor"/>
      </rPr>
      <t xml:space="preserve">, на территории которых действует </t>
    </r>
    <r>
      <rPr>
        <u/>
        <sz val="11"/>
        <rFont val="Calibri"/>
        <family val="2"/>
        <charset val="204"/>
        <scheme val="minor"/>
      </rPr>
      <t>не менее одного ТОС с уставом, зарегистрированным в органах местного самоуправления</t>
    </r>
  </si>
  <si>
    <r>
      <t xml:space="preserve">Количество ТОС </t>
    </r>
    <r>
      <rPr>
        <u/>
        <sz val="11"/>
        <rFont val="Calibri"/>
        <family val="2"/>
        <charset val="204"/>
        <scheme val="minor"/>
      </rPr>
      <t>с уставами, зарегистрированными в органах местного самоуправления</t>
    </r>
    <r>
      <rPr>
        <sz val="11"/>
        <rFont val="Calibri"/>
        <family val="2"/>
        <charset val="204"/>
        <scheme val="minor"/>
      </rPr>
      <t>, действующих на территории:</t>
    </r>
  </si>
  <si>
    <t>Муниципальные образования - субъекты бюджетных правоотношений, подпадавшие в 2021 г. под действие специальных норм статьи 136 Бюджетного кодекса Российской Федерации, в т.ч.:</t>
  </si>
  <si>
    <r>
      <rPr>
        <u/>
        <sz val="11"/>
        <rFont val="Calibri"/>
        <family val="2"/>
        <charset val="204"/>
        <scheme val="minor"/>
      </rPr>
      <t>Количество муниципальных образований,</t>
    </r>
    <r>
      <rPr>
        <sz val="11"/>
        <rFont val="Calibri"/>
        <family val="2"/>
        <charset val="204"/>
        <scheme val="minor"/>
      </rPr>
      <t xml:space="preserve"> органы местного самоуправления которых осуществляли в 2021 финансовом году какие-либо переданные (делегированные) государственные полномочия, </t>
    </r>
    <r>
      <rPr>
        <u/>
        <sz val="11"/>
        <rFont val="Calibri"/>
        <family val="2"/>
        <charset val="204"/>
        <scheme val="minor"/>
      </rPr>
      <t>обеспеченные субвенциями</t>
    </r>
    <r>
      <rPr>
        <sz val="11"/>
        <rFont val="Calibri"/>
        <family val="2"/>
        <charset val="204"/>
        <scheme val="minor"/>
      </rPr>
      <t xml:space="preserve"> из федерального бюджета или бюджета субъекта РФ</t>
    </r>
    <r>
      <rPr>
        <u/>
        <sz val="11"/>
        <rFont val="Calibri"/>
        <family val="2"/>
        <charset val="204"/>
        <scheme val="minor"/>
      </rPr>
      <t xml:space="preserve"> (подсчет самих полномочий вести не нужно)</t>
    </r>
    <r>
      <rPr>
        <sz val="11"/>
        <rFont val="Calibri"/>
        <family val="2"/>
        <charset val="204"/>
        <scheme val="minor"/>
      </rPr>
      <t>, в том числе:</t>
    </r>
  </si>
  <si>
    <t>Количество заседаний представительных органов, проведенных в 2021 году</t>
  </si>
  <si>
    <t>Досрочное прекращение полномочий представительных органов муниципальных образований в 2021 году:</t>
  </si>
  <si>
    <t>Досрочное прекращение полномочий глав муниципальных образований в 2021 году:</t>
  </si>
  <si>
    <t>Случаи отстранения от исполнения должностных обязанностей в соответствии с уголовно-процессуальным законодательством в 2021 году:</t>
  </si>
  <si>
    <t>Число муниципальных образований, где собирались взносы (в порядке самообложения) в 2021 году</t>
  </si>
  <si>
    <t>Голосования (избирателей) по вопросам изменения территориальной организации местного самоуправления, проведенные в 2021 г.</t>
  </si>
  <si>
    <t>Количество сельских старост, получавших в 2021 г. средства на компенсацию расходов из бюджетов и работающих в сельских населенных пунктах в границах:</t>
  </si>
  <si>
    <t xml:space="preserve">Голосования (избирателей) по отзыву депутатов и должностных лиц местного самоуправления в 2021 г. </t>
  </si>
  <si>
    <t>Наименование органа власти субъекта Российской Федерации (структурного подразделения)</t>
  </si>
  <si>
    <t>Ф.И.О. ответственного исполнителя в субъекте Российской Федерации</t>
  </si>
  <si>
    <t>Ф.И.О. ответственного исполнителя в территориальном органе Минюста России</t>
  </si>
  <si>
    <t>Наименование территориального органа Минюста России (и его структурного подразделения)</t>
  </si>
  <si>
    <t>&lt;заполнять здесь&gt;</t>
  </si>
  <si>
    <t>Контакты (служебный телефон с кодом города, личный телефон - по желанию исполнителя, электронная почта для оперативного обмена информацией)</t>
  </si>
  <si>
    <t xml:space="preserve">  по вопросам выдвижения, избрания и прекращения полномочий старост</t>
  </si>
  <si>
    <t>28.3.7.</t>
  </si>
  <si>
    <t>28.3.4.</t>
  </si>
  <si>
    <t xml:space="preserve">  по вопросам выдвижения и отбора инициативных проектов</t>
  </si>
  <si>
    <t xml:space="preserve">  по вопросам определения структуры органов местного самоуправления</t>
  </si>
  <si>
    <t xml:space="preserve">28.3.6. </t>
  </si>
  <si>
    <t>28.3.8.</t>
  </si>
  <si>
    <t xml:space="preserve">  по вопросам выдвижения кандидатур в конкурсные комиссии</t>
  </si>
  <si>
    <t>28.3.9.</t>
  </si>
  <si>
    <t xml:space="preserve">24.4.1. </t>
  </si>
  <si>
    <t>Число ставок согласно штатному расписанию МУПов</t>
  </si>
  <si>
    <t>24.4.2.</t>
  </si>
  <si>
    <t>Фактическое число работников в МУПов</t>
  </si>
  <si>
    <t>24.6.1.</t>
  </si>
  <si>
    <t>24.6.2.</t>
  </si>
  <si>
    <t>Количество муниципальных учреждений (без учета органов местного самоуправления, учтенных в п.16)</t>
  </si>
  <si>
    <t>Число ставок согласно штатному расписанию муниципальных учреждений (без учета ставок в органах местного самоуправления)</t>
  </si>
  <si>
    <t>Число фактически работающих в муниципальных учреждениях (без учета занимающих должности, служащих и работающих в органах местного самоуправления)</t>
  </si>
  <si>
    <t xml:space="preserve"> по состоянию на начало текущего годa 
(1 января 2022 г.)</t>
  </si>
  <si>
    <t xml:space="preserve">  включенных в государственный реестр муниципальных образований по состоянию на 1 января 2022 г.</t>
  </si>
  <si>
    <t>5.4.*</t>
  </si>
  <si>
    <t>5.3.7.*</t>
  </si>
  <si>
    <t>5.3.1.*</t>
  </si>
  <si>
    <t>5.3.2.*</t>
  </si>
  <si>
    <t>5.3.3.*</t>
  </si>
  <si>
    <t>5.3.4.*</t>
  </si>
  <si>
    <t>5.3.5.*</t>
  </si>
  <si>
    <t>5.3.6.*</t>
  </si>
  <si>
    <t>Сельские поселения, за которыми в течение 2021 г. были закреплены дополнительные (сверх гаранти-рованного статьей 14 Федерального закона № 131-ФЗ минимума) полномочия по решению вопросов местного значения, в т.ч.:</t>
  </si>
  <si>
    <t>Муниципальные образования, имеющие двух- и многосторонние договоры о сотрудничестве с другими муниципальными образованиями (в пределах Российской Федерации):</t>
  </si>
  <si>
    <t>Самообложение и инициативные проекты</t>
  </si>
  <si>
    <t>Общее число населенных пунктов 
(автоматический подсчет, не заполняется), в т.ч.</t>
  </si>
  <si>
    <t xml:space="preserve">  закрытые административно-территориальные образования (согл. Закону от 14 июля 1992 г. №3297-1)</t>
  </si>
  <si>
    <t xml:space="preserve">    на территориях инновационных научно-технологических центров (включая «Сколково») 
(согл. федеральным законам № 216-ФЗ и № 244-ФЗ)</t>
  </si>
  <si>
    <t xml:space="preserve">    в районах Крайнего Севера и приравненных к ним местностях с ограниченными сроками завоза (согл. пост-нию Правительства РФ от 23.05.2000 №402) </t>
  </si>
  <si>
    <t xml:space="preserve">  изменения границ муниципальных образований 
(в пределах субъекта РФ):</t>
  </si>
  <si>
    <r>
      <t xml:space="preserve">Муниципальные образования, затронутые изменениями территориальной организации местного самоуправления в 2021 году </t>
    </r>
    <r>
      <rPr>
        <sz val="11"/>
        <rFont val="Calibri"/>
        <family val="2"/>
        <charset val="204"/>
        <scheme val="minor"/>
      </rPr>
      <t xml:space="preserve"> (согл. законам субъектов РФ, вступившим в силу не ранее 2 января 2021 г. и не позднее 1 января 2022 г.):</t>
    </r>
  </si>
  <si>
    <t>Муниципальные образования, не имеющие действующих (принятых, зарегистрированных, опубликованных и вступивших в силу) уставов</t>
  </si>
  <si>
    <t>Муниципальные образования с действующими (принятыми, зарегистрированными, опубликованными и вступившими в силу) уставами</t>
  </si>
  <si>
    <t xml:space="preserve">    правилами благоустройства не исключена возможность размещения нестационарных торговых объектов собственниками поставленных на кадастровый учет земельных участков</t>
  </si>
  <si>
    <t xml:space="preserve">    правилами благоустройства предусматриваются требования к удаленности нестационарных торговых объектах к их удаленности от зданий и сооружений, сочетанию с другими объектами благоустройства, техническим и конструктивным особенностям</t>
  </si>
  <si>
    <r>
      <t xml:space="preserve">  пункта 3 (но не пункта 4) статьи 136 - дотации и поступления по дополнительным нормативам отчислений составляли </t>
    </r>
    <r>
      <rPr>
        <u/>
        <sz val="11"/>
        <rFont val="Calibri"/>
        <family val="2"/>
        <charset val="204"/>
        <scheme val="minor"/>
      </rPr>
      <t>более 20, но не более 50 процентов</t>
    </r>
    <r>
      <rPr>
        <sz val="11"/>
        <rFont val="Calibri"/>
        <family val="2"/>
        <charset val="204"/>
        <scheme val="minor"/>
      </rPr>
      <t xml:space="preserve"> доходов местного бюджета за 2 из 3 последних отчетных финансовых лет</t>
    </r>
  </si>
  <si>
    <r>
      <t xml:space="preserve">  пункта 2 (но не пунктов 3 и 4) статьи 136 - дотации и поступления по дополнительным нормативам отчислений составляли </t>
    </r>
    <r>
      <rPr>
        <u/>
        <sz val="11"/>
        <rFont val="Calibri"/>
        <family val="2"/>
        <charset val="204"/>
        <scheme val="minor"/>
      </rPr>
      <t>более 5, но не более 20 процентов</t>
    </r>
    <r>
      <rPr>
        <sz val="11"/>
        <rFont val="Calibri"/>
        <family val="2"/>
        <charset val="204"/>
        <scheme val="minor"/>
      </rPr>
      <t xml:space="preserve"> доходов местного бюджета за 2 из 3 последних отчетных финансовых лет</t>
    </r>
  </si>
  <si>
    <t xml:space="preserve">     ветеранам (согласно Федеральному закону 
от 12 января 1995 г. № 5-ФЗ)</t>
  </si>
  <si>
    <t xml:space="preserve">    бывшим военнослужащим и членам их семей (согласно Федеральному закону от 27 мая 1998 г. №76-ФЗ)</t>
  </si>
  <si>
    <r>
      <t xml:space="preserve">  "собственные" полномочия субъекта Российской Федерации (упомятуные в части 2 ст. 26.3 Федерального закона от 6 октября 1999 г. № 184-ФЗ и законах субъектов РФ) переданные (делегированные) законом субъекта Российской Федерации (в соотв. со ст. 17 Федерального закона от 6 октября 2003 г. № 131-ФЗ) органам местного самоуправления (с субвенциями из бюджета субъекта Российской Федерации),</t>
    </r>
    <r>
      <rPr>
        <u/>
        <sz val="11"/>
        <rFont val="Calibri"/>
        <family val="2"/>
        <charset val="204"/>
        <scheme val="minor"/>
      </rPr>
      <t xml:space="preserve"> без учета делегированных федеральных государственных полномочий, указанных в пп. 10.1.1 и 10.1.2,</t>
    </r>
    <r>
      <rPr>
        <sz val="11"/>
        <rFont val="Calibri"/>
        <family val="2"/>
        <charset val="204"/>
        <scheme val="minor"/>
      </rPr>
      <t xml:space="preserve"> в т.ч.</t>
    </r>
  </si>
  <si>
    <t xml:space="preserve">    отдельные полномочия в экономической и финансовой сфере</t>
  </si>
  <si>
    <r>
      <t xml:space="preserve">Количество действовавших в 2021 году </t>
    </r>
    <r>
      <rPr>
        <u/>
        <sz val="11"/>
        <rFont val="Calibri"/>
        <family val="2"/>
        <charset val="204"/>
        <scheme val="minor"/>
      </rPr>
      <t xml:space="preserve">соглашений </t>
    </r>
    <r>
      <rPr>
        <sz val="11"/>
        <rFont val="Calibri"/>
        <family val="2"/>
        <charset val="204"/>
        <scheme val="minor"/>
      </rPr>
      <t>между органами местного самоуправления поселений и муниципальных районов соглашений о передаче полномочий, заключенных в соотв. со ст. 15 Федерального закона № 131-ФЗ:</t>
    </r>
  </si>
  <si>
    <t xml:space="preserve">  в соответствии с действующими уставами муниципальных образований:</t>
  </si>
  <si>
    <t>Главы муниципальных образований по сочетанию способа избрания и места в системе органов местного самоуправления (в соответствии с действующими уставами муниципальных образований):</t>
  </si>
  <si>
    <t>Количество муниципальных образований, подпадающих под критерии, установленные законом субъекта Российской Федерации в соответствии с п.2 резолютивной части постановления  Конституционного Суда Российской Федерации от 1 декабря 2015 г. 
№30-П (при наличии таких критериев)</t>
  </si>
  <si>
    <t>Муниципальные образования, в которых в соответствии с законодательством и уставами муниципальных образований местные администрации не должны формироваться, в том числе:</t>
  </si>
  <si>
    <t xml:space="preserve">  поселения - административные центры муниципальных районов,уставами которых предусмотрено возложение полномочий их администраций на администрации районов (в соотв. с ч.2 ст.34 Федерального закона №131-ФЗ)</t>
  </si>
  <si>
    <t xml:space="preserve">  поселения - административные центры муниципальных районов, полномочия администраций которых исполняются администрациями районов 
(в соотв. с ч.2 ст.34 Федерального закона №131-ФЗ)</t>
  </si>
  <si>
    <t xml:space="preserve">  внутригородские муниципальные образования, в которых местные администрации не сформированы  в соответствии с законами субъектов Российской Федерации - городов федерального значения</t>
  </si>
  <si>
    <t>Иные должностные лица местного самоуправления, не являющиеся депутатами, главами муниципальных образований, председателями, заместителями председателей и аудиторами контрольно-счетных органов либо муниципальными служащими 
(не учтенные в других разделах)</t>
  </si>
  <si>
    <t>Главы местных администраций, назначенные по конкурсу (без учета глав муниципальных образований, возглавляющих местные администрации по должности):</t>
  </si>
  <si>
    <t>Досрочное прекращение в 2021 году полномочий глав местных администраций (не глав муниципальных образований), назначенных по контракту:</t>
  </si>
  <si>
    <t>Муниципальные образования, имеющие официальные сайты органов местного самоуправления (без учета поселений, имеющих только страницы на сайтах районов)</t>
  </si>
  <si>
    <r>
      <t xml:space="preserve">Количество действующих </t>
    </r>
    <r>
      <rPr>
        <u/>
        <sz val="11"/>
        <rFont val="Calibri"/>
        <family val="2"/>
        <charset val="204"/>
        <scheme val="minor"/>
      </rPr>
      <t>муниципальных образований,</t>
    </r>
    <r>
      <rPr>
        <sz val="11"/>
        <rFont val="Calibri"/>
        <family val="2"/>
        <charset val="204"/>
        <scheme val="minor"/>
      </rPr>
      <t xml:space="preserve"> являющихся </t>
    </r>
    <r>
      <rPr>
        <u/>
        <sz val="11"/>
        <rFont val="Calibri"/>
        <family val="2"/>
        <charset val="204"/>
        <scheme val="minor"/>
      </rPr>
      <t>учредителями</t>
    </r>
    <r>
      <rPr>
        <sz val="11"/>
        <rFont val="Calibri"/>
        <family val="2"/>
        <charset val="204"/>
        <scheme val="minor"/>
      </rPr>
      <t xml:space="preserve"> муниципальных организаций (хотя бы одной), в том числе опосредованно - через органы местного самоуправления, в т.ч.:</t>
    </r>
  </si>
  <si>
    <t>Количество избранных по итогам выборов в 2021 году (независимо от того, сохранили ли они свой статус впоследствии)</t>
  </si>
  <si>
    <r>
      <t xml:space="preserve">  по иным вопросам (в т.ч. собрания, </t>
    </r>
    <r>
      <rPr>
        <u/>
        <sz val="11"/>
        <rFont val="Calibri"/>
        <family val="2"/>
        <charset val="204"/>
        <scheme val="minor"/>
      </rPr>
      <t>не связанные</t>
    </r>
    <r>
      <rPr>
        <sz val="11"/>
        <rFont val="Calibri"/>
        <family val="2"/>
        <charset val="204"/>
        <scheme val="minor"/>
      </rPr>
      <t xml:space="preserve"> с вопросами, указанными в ст. 25 и 25.1 Федерального закона, но оформленные как сходы)</t>
    </r>
  </si>
  <si>
    <t>Поселения, в которых в соотв. с ч.6 ст. 18 Градостроитель-ного кодекса РФ приняты решения об отсутствии необходимости разработки генеральных планов</t>
  </si>
  <si>
    <t xml:space="preserve">  по пункту 1 резолютивной части постановления от 19.04.2021 № 14-П  в действующих по состоянию 
на 1 января 2021 г. правилах благоустойства территорий муниципальных образований (см. 8.3.4)</t>
  </si>
  <si>
    <t xml:space="preserve">    донорам (согласно Федеральному закону от 20 июля 2012 г. № 125-ФЗ)</t>
  </si>
  <si>
    <r>
      <t xml:space="preserve">Действующие депутаты муниципальных районов и городских округов с внутригородским делением, избранные методом </t>
    </r>
    <r>
      <rPr>
        <u/>
        <sz val="11"/>
        <rFont val="Calibri"/>
        <family val="2"/>
        <charset val="204"/>
        <scheme val="minor"/>
      </rPr>
      <t>делегирования</t>
    </r>
    <r>
      <rPr>
        <sz val="11"/>
        <rFont val="Calibri"/>
        <family val="2"/>
        <charset val="204"/>
        <scheme val="minor"/>
      </rPr>
      <t>, в т.ч.:</t>
    </r>
  </si>
  <si>
    <t>Действующие депутаты представительных органов муниципальных образований, избранные на муниципальных выборах:</t>
  </si>
  <si>
    <t>Действующие депутаты представительных органов муниципальных образований, избранные по системе делегирования:</t>
  </si>
  <si>
    <t>Действующие главы муниципальных образований:</t>
  </si>
  <si>
    <t>Муниципальные образования, полностью или частично расположенные на федеральной территории (согл. Федеральному закону от 22 декабря 2020 г. № 437-ФЗ)</t>
  </si>
  <si>
    <r>
      <t xml:space="preserve">Действующие депутаты, которые были ранее избраны 
</t>
    </r>
    <r>
      <rPr>
        <u/>
        <sz val="11"/>
        <rFont val="Calibri"/>
        <family val="2"/>
        <charset val="204"/>
        <scheme val="minor"/>
      </rPr>
      <t>на муниципальных выборах</t>
    </r>
    <r>
      <rPr>
        <sz val="11"/>
        <rFont val="Calibri"/>
        <family val="2"/>
        <charset val="204"/>
        <scheme val="minor"/>
      </rPr>
      <t xml:space="preserve"> (и сохраняют к концу 2021 года свои депутатские полномочия), в т.ч.:</t>
    </r>
  </si>
  <si>
    <t>Администрации Балманского сельсовета</t>
  </si>
  <si>
    <t>Бойков Виталий Владимирович</t>
  </si>
  <si>
    <t>8(38362)31721; balman07@bk.ru</t>
  </si>
  <si>
    <t>Алсуфьева Екатерина Евлампиевна</t>
  </si>
  <si>
    <t>Администрация Балманского сельсовета Куйбышевского района Новосибирской облапсти</t>
  </si>
  <si>
    <t>8(38362)31743, balman07@bk.ru</t>
  </si>
  <si>
    <t>глав)")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</si>
</sst>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rgb="FF002060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9.5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.35"/>
      <name val="Calibri"/>
      <family val="2"/>
      <charset val="204"/>
    </font>
    <font>
      <u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0" fillId="4" borderId="1" xfId="0" applyFill="1" applyBorder="1" applyAlignment="1" applyProtection="1">
      <alignment wrapText="1"/>
      <protection locked="0"/>
    </xf>
    <xf numFmtId="0" fontId="11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wrapText="1"/>
    </xf>
    <xf numFmtId="0" fontId="16" fillId="3" borderId="1" xfId="0" applyFont="1" applyFill="1" applyBorder="1" applyAlignment="1"/>
    <xf numFmtId="0" fontId="7" fillId="3" borderId="1" xfId="0" applyFont="1" applyFill="1" applyBorder="1" applyAlignment="1"/>
    <xf numFmtId="0" fontId="19" fillId="3" borderId="1" xfId="0" applyFont="1" applyFill="1" applyBorder="1" applyAlignment="1"/>
    <xf numFmtId="0" fontId="19" fillId="3" borderId="7" xfId="0" applyFont="1" applyFill="1" applyBorder="1" applyAlignment="1">
      <alignment wrapText="1"/>
    </xf>
    <xf numFmtId="0" fontId="20" fillId="3" borderId="1" xfId="0" applyFont="1" applyFill="1" applyBorder="1" applyAlignment="1"/>
    <xf numFmtId="0" fontId="18" fillId="3" borderId="7" xfId="0" applyFont="1" applyFill="1" applyBorder="1" applyAlignment="1"/>
    <xf numFmtId="0" fontId="21" fillId="3" borderId="1" xfId="0" applyFont="1" applyFill="1" applyBorder="1" applyAlignment="1"/>
    <xf numFmtId="0" fontId="6" fillId="4" borderId="1" xfId="0" applyFont="1" applyFill="1" applyBorder="1" applyAlignment="1" applyProtection="1">
      <alignment wrapText="1"/>
      <protection locked="0"/>
    </xf>
    <xf numFmtId="0" fontId="6" fillId="3" borderId="3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wrapText="1"/>
      <protection locked="0"/>
    </xf>
    <xf numFmtId="0" fontId="6" fillId="3" borderId="1" xfId="0" applyFont="1" applyFill="1" applyBorder="1" applyAlignment="1">
      <alignment wrapText="1"/>
    </xf>
    <xf numFmtId="0" fontId="6" fillId="0" borderId="1" xfId="0" applyFont="1" applyBorder="1" applyAlignment="1" applyProtection="1">
      <alignment wrapText="1"/>
      <protection locked="0"/>
    </xf>
    <xf numFmtId="0" fontId="6" fillId="3" borderId="14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6" fillId="3" borderId="15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12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6" fillId="3" borderId="13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6" fillId="3" borderId="9" xfId="0" applyFont="1" applyFill="1" applyBorder="1" applyAlignment="1" applyProtection="1">
      <alignment wrapText="1"/>
      <protection locked="0"/>
    </xf>
    <xf numFmtId="0" fontId="6" fillId="4" borderId="13" xfId="0" applyFont="1" applyFill="1" applyBorder="1" applyAlignment="1" applyProtection="1">
      <alignment wrapText="1"/>
      <protection locked="0"/>
    </xf>
    <xf numFmtId="0" fontId="6" fillId="3" borderId="6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6" fillId="3" borderId="6" xfId="0" applyFont="1" applyFill="1" applyBorder="1" applyAlignment="1" applyProtection="1">
      <alignment wrapText="1"/>
      <protection locked="0"/>
    </xf>
    <xf numFmtId="0" fontId="6" fillId="4" borderId="4" xfId="0" applyFont="1" applyFill="1" applyBorder="1" applyAlignment="1" applyProtection="1">
      <alignment wrapText="1"/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wrapText="1"/>
      <protection locked="0"/>
    </xf>
    <xf numFmtId="0" fontId="2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7" fillId="5" borderId="1" xfId="0" applyFont="1" applyFill="1" applyBorder="1" applyAlignment="1"/>
    <xf numFmtId="0" fontId="11" fillId="2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wrapText="1"/>
    </xf>
    <xf numFmtId="0" fontId="16" fillId="3" borderId="0" xfId="0" applyFont="1" applyFill="1" applyBorder="1" applyAlignment="1"/>
    <xf numFmtId="0" fontId="7" fillId="5" borderId="0" xfId="0" applyFont="1" applyFill="1" applyBorder="1" applyAlignment="1"/>
    <xf numFmtId="0" fontId="7" fillId="3" borderId="0" xfId="0" applyFont="1" applyFill="1" applyBorder="1" applyAlignment="1"/>
    <xf numFmtId="0" fontId="7" fillId="3" borderId="2" xfId="0" applyFont="1" applyFill="1" applyBorder="1" applyAlignment="1"/>
    <xf numFmtId="0" fontId="19" fillId="3" borderId="0" xfId="0" applyFont="1" applyFill="1" applyBorder="1" applyAlignment="1"/>
    <xf numFmtId="0" fontId="18" fillId="3" borderId="0" xfId="0" applyFont="1" applyFill="1" applyBorder="1" applyAlignment="1"/>
    <xf numFmtId="0" fontId="19" fillId="3" borderId="0" xfId="0" applyFont="1" applyFill="1" applyBorder="1" applyAlignment="1">
      <alignment wrapText="1"/>
    </xf>
    <xf numFmtId="0" fontId="21" fillId="3" borderId="0" xfId="0" applyFont="1" applyFill="1" applyBorder="1" applyAlignment="1"/>
    <xf numFmtId="0" fontId="20" fillId="3" borderId="0" xfId="0" applyFont="1" applyFill="1" applyBorder="1" applyAlignment="1"/>
    <xf numFmtId="0" fontId="0" fillId="3" borderId="0" xfId="0" applyFill="1" applyBorder="1" applyAlignment="1" applyProtection="1">
      <alignment wrapText="1"/>
      <protection locked="0"/>
    </xf>
    <xf numFmtId="0" fontId="0" fillId="0" borderId="0" xfId="0" applyBorder="1" applyAlignment="1">
      <alignment horizontal="center" vertical="center" wrapText="1"/>
    </xf>
    <xf numFmtId="0" fontId="18" fillId="5" borderId="1" xfId="0" applyFont="1" applyFill="1" applyBorder="1" applyAlignment="1"/>
    <xf numFmtId="0" fontId="18" fillId="2" borderId="1" xfId="0" applyFont="1" applyFill="1" applyBorder="1" applyAlignment="1" applyProtection="1">
      <alignment wrapText="1"/>
      <protection locked="0"/>
    </xf>
    <xf numFmtId="0" fontId="18" fillId="4" borderId="1" xfId="0" applyFont="1" applyFill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9" fillId="3" borderId="6" xfId="0" applyFont="1" applyFill="1" applyBorder="1" applyAlignment="1">
      <alignment wrapText="1"/>
    </xf>
    <xf numFmtId="0" fontId="19" fillId="3" borderId="3" xfId="0" applyFont="1" applyFill="1" applyBorder="1" applyAlignment="1">
      <alignment wrapText="1"/>
    </xf>
    <xf numFmtId="0" fontId="19" fillId="3" borderId="14" xfId="0" applyFont="1" applyFill="1" applyBorder="1" applyAlignment="1">
      <alignment wrapText="1"/>
    </xf>
    <xf numFmtId="0" fontId="19" fillId="3" borderId="15" xfId="0" applyFont="1" applyFill="1" applyBorder="1" applyAlignment="1">
      <alignment wrapText="1"/>
    </xf>
    <xf numFmtId="0" fontId="19" fillId="3" borderId="11" xfId="0" applyFont="1" applyFill="1" applyBorder="1" applyAlignment="1">
      <alignment wrapText="1"/>
    </xf>
    <xf numFmtId="0" fontId="19" fillId="3" borderId="2" xfId="0" applyFont="1" applyFill="1" applyBorder="1" applyAlignment="1">
      <alignment wrapText="1"/>
    </xf>
    <xf numFmtId="0" fontId="19" fillId="3" borderId="12" xfId="0" applyFont="1" applyFill="1" applyBorder="1" applyAlignment="1">
      <alignment wrapText="1"/>
    </xf>
    <xf numFmtId="0" fontId="19" fillId="3" borderId="9" xfId="0" applyFont="1" applyFill="1" applyBorder="1" applyAlignment="1">
      <alignment wrapText="1"/>
    </xf>
    <xf numFmtId="0" fontId="19" fillId="3" borderId="8" xfId="0" applyFont="1" applyFill="1" applyBorder="1" applyAlignment="1">
      <alignment wrapText="1"/>
    </xf>
    <xf numFmtId="0" fontId="19" fillId="3" borderId="10" xfId="0" applyFont="1" applyFill="1" applyBorder="1" applyAlignment="1">
      <alignment wrapText="1"/>
    </xf>
    <xf numFmtId="0" fontId="19" fillId="3" borderId="4" xfId="0" applyFont="1" applyFill="1" applyBorder="1" applyAlignment="1">
      <alignment wrapText="1"/>
    </xf>
    <xf numFmtId="0" fontId="19" fillId="3" borderId="5" xfId="0" applyFont="1" applyFill="1" applyBorder="1" applyAlignment="1">
      <alignment wrapText="1"/>
    </xf>
    <xf numFmtId="0" fontId="19" fillId="3" borderId="13" xfId="0" applyFont="1" applyFill="1" applyBorder="1" applyAlignment="1">
      <alignment wrapText="1"/>
    </xf>
    <xf numFmtId="0" fontId="19" fillId="3" borderId="0" xfId="0" applyFont="1" applyFill="1" applyAlignment="1">
      <alignment wrapText="1"/>
    </xf>
    <xf numFmtId="0" fontId="19" fillId="3" borderId="9" xfId="0" applyFont="1" applyFill="1" applyBorder="1" applyAlignment="1" applyProtection="1">
      <alignment wrapText="1"/>
      <protection locked="0"/>
    </xf>
    <xf numFmtId="0" fontId="19" fillId="3" borderId="1" xfId="0" applyFont="1" applyFill="1" applyBorder="1" applyAlignment="1" applyProtection="1">
      <alignment wrapText="1"/>
      <protection locked="0"/>
    </xf>
    <xf numFmtId="0" fontId="11" fillId="7" borderId="0" xfId="0" applyFont="1" applyFill="1" applyAlignment="1">
      <alignment wrapText="1"/>
    </xf>
    <xf numFmtId="0" fontId="6" fillId="6" borderId="1" xfId="0" applyFont="1" applyFill="1" applyBorder="1" applyAlignment="1" applyProtection="1">
      <alignment wrapText="1"/>
      <protection locked="0"/>
    </xf>
    <xf numFmtId="0" fontId="6" fillId="6" borderId="1" xfId="0" applyFont="1" applyFill="1" applyBorder="1" applyAlignment="1">
      <alignment wrapText="1"/>
    </xf>
    <xf numFmtId="0" fontId="6" fillId="2" borderId="4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16" fillId="3" borderId="7" xfId="0" applyFont="1" applyFill="1" applyBorder="1" applyAlignment="1">
      <alignment wrapText="1"/>
    </xf>
    <xf numFmtId="0" fontId="19" fillId="3" borderId="1" xfId="0" applyFont="1" applyFill="1" applyBorder="1" applyAlignment="1"/>
    <xf numFmtId="0" fontId="20" fillId="3" borderId="1" xfId="0" applyFont="1" applyFill="1" applyBorder="1" applyAlignment="1"/>
    <xf numFmtId="0" fontId="19" fillId="3" borderId="0" xfId="0" applyFont="1" applyFill="1" applyBorder="1" applyAlignment="1"/>
    <xf numFmtId="0" fontId="20" fillId="3" borderId="0" xfId="0" applyFont="1" applyFill="1" applyBorder="1" applyAlignment="1"/>
    <xf numFmtId="0" fontId="18" fillId="5" borderId="1" xfId="0" applyFont="1" applyFill="1" applyBorder="1" applyAlignment="1"/>
    <xf numFmtId="0" fontId="0" fillId="0" borderId="0" xfId="0" applyAlignment="1">
      <alignment horizontal="center" wrapText="1"/>
    </xf>
    <xf numFmtId="0" fontId="19" fillId="3" borderId="7" xfId="0" applyFont="1" applyFill="1" applyBorder="1" applyAlignment="1"/>
    <xf numFmtId="0" fontId="23" fillId="3" borderId="1" xfId="0" applyFont="1" applyFill="1" applyBorder="1" applyAlignment="1"/>
    <xf numFmtId="0" fontId="4" fillId="5" borderId="1" xfId="0" applyFont="1" applyFill="1" applyBorder="1" applyAlignment="1"/>
    <xf numFmtId="0" fontId="18" fillId="8" borderId="1" xfId="0" applyFont="1" applyFill="1" applyBorder="1" applyAlignment="1"/>
    <xf numFmtId="0" fontId="18" fillId="2" borderId="1" xfId="0" applyFont="1" applyFill="1" applyBorder="1" applyAlignment="1">
      <alignment vertical="center" wrapText="1"/>
    </xf>
    <xf numFmtId="0" fontId="6" fillId="2" borderId="13" xfId="0" applyFont="1" applyFill="1" applyBorder="1" applyAlignment="1" applyProtection="1">
      <alignment wrapText="1"/>
      <protection locked="0"/>
    </xf>
    <xf numFmtId="0" fontId="3" fillId="5" borderId="1" xfId="0" applyFont="1" applyFill="1" applyBorder="1" applyAlignment="1"/>
    <xf numFmtId="0" fontId="17" fillId="5" borderId="1" xfId="0" applyFont="1" applyFill="1" applyBorder="1" applyAlignment="1"/>
    <xf numFmtId="0" fontId="17" fillId="3" borderId="1" xfId="0" applyFont="1" applyFill="1" applyBorder="1" applyAlignment="1">
      <alignment wrapText="1"/>
    </xf>
    <xf numFmtId="0" fontId="17" fillId="3" borderId="5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0" xfId="0" applyFont="1" applyFill="1" applyAlignment="1">
      <alignment wrapText="1"/>
    </xf>
    <xf numFmtId="0" fontId="17" fillId="3" borderId="1" xfId="0" applyFont="1" applyFill="1" applyBorder="1" applyAlignment="1"/>
    <xf numFmtId="0" fontId="17" fillId="0" borderId="1" xfId="0" applyFont="1" applyBorder="1" applyAlignment="1" applyProtection="1">
      <alignment wrapText="1"/>
      <protection locked="0"/>
    </xf>
    <xf numFmtId="0" fontId="2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/>
    <xf numFmtId="0" fontId="21" fillId="0" borderId="1" xfId="0" applyFont="1" applyBorder="1" applyAlignment="1">
      <alignment vertical="center" wrapText="1"/>
    </xf>
    <xf numFmtId="0" fontId="17" fillId="3" borderId="8" xfId="0" applyFont="1" applyFill="1" applyBorder="1" applyAlignment="1">
      <alignment wrapText="1"/>
    </xf>
    <xf numFmtId="0" fontId="17" fillId="3" borderId="10" xfId="0" applyFont="1" applyFill="1" applyBorder="1" applyAlignment="1">
      <alignment wrapText="1"/>
    </xf>
    <xf numFmtId="0" fontId="17" fillId="4" borderId="1" xfId="0" applyFont="1" applyFill="1" applyBorder="1" applyAlignment="1" applyProtection="1">
      <alignment wrapText="1"/>
      <protection locked="0"/>
    </xf>
    <xf numFmtId="0" fontId="17" fillId="3" borderId="15" xfId="0" applyFont="1" applyFill="1" applyBorder="1" applyAlignment="1">
      <alignment wrapText="1"/>
    </xf>
    <xf numFmtId="0" fontId="17" fillId="3" borderId="13" xfId="0" applyFont="1" applyFill="1" applyBorder="1" applyAlignment="1">
      <alignment wrapText="1"/>
    </xf>
    <xf numFmtId="0" fontId="17" fillId="3" borderId="6" xfId="0" applyFont="1" applyFill="1" applyBorder="1" applyAlignment="1">
      <alignment wrapText="1"/>
    </xf>
    <xf numFmtId="0" fontId="17" fillId="3" borderId="7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17" fillId="3" borderId="12" xfId="0" applyFont="1" applyFill="1" applyBorder="1" applyAlignment="1">
      <alignment wrapText="1"/>
    </xf>
    <xf numFmtId="0" fontId="25" fillId="3" borderId="1" xfId="0" applyFont="1" applyFill="1" applyBorder="1" applyAlignment="1">
      <alignment wrapText="1"/>
    </xf>
    <xf numFmtId="0" fontId="25" fillId="3" borderId="6" xfId="0" applyFont="1" applyFill="1" applyBorder="1" applyAlignment="1">
      <alignment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14" fontId="18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vertical="center" wrapText="1"/>
    </xf>
    <xf numFmtId="14" fontId="18" fillId="4" borderId="4" xfId="0" applyNumberFormat="1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vertical="center" wrapText="1"/>
    </xf>
    <xf numFmtId="16" fontId="18" fillId="2" borderId="1" xfId="0" applyNumberFormat="1" applyFont="1" applyFill="1" applyBorder="1" applyAlignment="1">
      <alignment horizontal="left" vertical="center" wrapText="1"/>
    </xf>
    <xf numFmtId="14" fontId="18" fillId="2" borderId="1" xfId="0" applyNumberFormat="1" applyFont="1" applyFill="1" applyBorder="1" applyAlignment="1">
      <alignment horizontal="left" vertical="center" wrapText="1"/>
    </xf>
    <xf numFmtId="16" fontId="18" fillId="0" borderId="1" xfId="0" applyNumberFormat="1" applyFont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32" fillId="0" borderId="0" xfId="0" applyFont="1" applyAlignment="1">
      <alignment horizontal="center" vertical="center"/>
    </xf>
    <xf numFmtId="0" fontId="1" fillId="5" borderId="1" xfId="0" applyFont="1" applyFill="1" applyBorder="1" applyAlignment="1"/>
    <xf numFmtId="0" fontId="13" fillId="0" borderId="0" xfId="0" applyFont="1" applyAlignment="1">
      <alignment horizontal="center" wrapText="1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2" borderId="6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31" fillId="0" borderId="3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5" fillId="2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CCCC"/>
      <color rgb="FFFFFF99"/>
      <color rgb="FFFF9999"/>
      <color rgb="FFFFCC99"/>
      <color rgb="FFFFFFCC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11"/>
  <sheetViews>
    <sheetView tabSelected="1" view="pageBreakPreview" zoomScale="70" zoomScaleNormal="100" zoomScaleSheetLayoutView="70" workbookViewId="0">
      <pane xSplit="7" ySplit="7" topLeftCell="H103" activePane="bottomRight" state="frozen"/>
      <selection pane="topRight" activeCell="H1" sqref="H1"/>
      <selection pane="bottomLeft" activeCell="A7" sqref="A7"/>
      <selection pane="bottomRight" activeCell="S154" sqref="S154"/>
    </sheetView>
  </sheetViews>
  <sheetFormatPr defaultColWidth="9.140625" defaultRowHeight="15"/>
  <cols>
    <col min="1" max="1" width="4.140625" style="5" customWidth="1"/>
    <col min="2" max="2" width="10.28515625" style="12" customWidth="1"/>
    <col min="3" max="3" width="51.42578125" style="5" customWidth="1"/>
    <col min="4" max="7" width="12.85546875" style="5" customWidth="1"/>
    <col min="8" max="8" width="12.85546875" style="24" customWidth="1"/>
    <col min="9" max="9" width="12.85546875" style="5" customWidth="1"/>
    <col min="10" max="10" width="14.28515625" style="105" customWidth="1"/>
    <col min="11" max="12" width="12.85546875" style="5" customWidth="1"/>
    <col min="13" max="13" width="17.140625" style="5" customWidth="1"/>
    <col min="14" max="14" width="14.28515625" style="16" customWidth="1"/>
    <col min="15" max="15" width="12.85546875" style="16" customWidth="1"/>
    <col min="16" max="16" width="4.28515625" style="16" customWidth="1"/>
    <col min="17" max="16384" width="9.140625" style="5"/>
  </cols>
  <sheetData>
    <row r="1" spans="1:16">
      <c r="A1" s="64">
        <v>12</v>
      </c>
    </row>
    <row r="2" spans="1:16">
      <c r="N2" s="7"/>
      <c r="O2" s="166"/>
      <c r="P2" s="17"/>
    </row>
    <row r="3" spans="1:16" s="24" customFormat="1">
      <c r="B3" s="12"/>
      <c r="J3" s="105"/>
      <c r="N3" s="17"/>
      <c r="O3" s="17"/>
      <c r="P3" s="17"/>
    </row>
    <row r="4" spans="1:16" s="24" customFormat="1" ht="21">
      <c r="B4" s="168" t="s">
        <v>983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65"/>
    </row>
    <row r="5" spans="1:16" s="24" customFormat="1" ht="23.25">
      <c r="B5" s="13"/>
      <c r="C5" s="8" t="s">
        <v>12</v>
      </c>
      <c r="D5" s="169" t="s">
        <v>1300</v>
      </c>
      <c r="E5" s="169"/>
      <c r="F5" s="169"/>
      <c r="G5" s="169"/>
      <c r="H5" s="169"/>
      <c r="I5" s="169"/>
      <c r="J5" s="169"/>
      <c r="K5" s="169"/>
      <c r="L5" s="7"/>
      <c r="M5" s="7"/>
      <c r="N5" s="17"/>
      <c r="O5" s="17"/>
      <c r="P5" s="17"/>
    </row>
    <row r="6" spans="1:16" s="24" customFormat="1">
      <c r="B6" s="12"/>
      <c r="D6" s="170" t="s">
        <v>194</v>
      </c>
      <c r="E6" s="170"/>
      <c r="F6" s="170"/>
      <c r="G6" s="170"/>
      <c r="H6" s="170"/>
      <c r="I6" s="170"/>
      <c r="J6" s="170"/>
      <c r="K6" s="170"/>
      <c r="N6" s="16"/>
      <c r="O6" s="16"/>
      <c r="P6" s="16"/>
    </row>
    <row r="7" spans="1:16" s="9" customFormat="1" ht="76.5">
      <c r="B7" s="152"/>
      <c r="C7" s="152" t="s">
        <v>0</v>
      </c>
      <c r="D7" s="1" t="s">
        <v>1094</v>
      </c>
      <c r="E7" s="1" t="s">
        <v>9</v>
      </c>
      <c r="F7" s="1" t="s">
        <v>13</v>
      </c>
      <c r="G7" s="1" t="s">
        <v>11</v>
      </c>
      <c r="H7" s="1" t="s">
        <v>408</v>
      </c>
      <c r="I7" s="1" t="s">
        <v>10</v>
      </c>
      <c r="J7" s="127" t="s">
        <v>985</v>
      </c>
      <c r="K7" s="1" t="s">
        <v>986</v>
      </c>
      <c r="L7" s="1" t="s">
        <v>14</v>
      </c>
      <c r="M7" s="4" t="s">
        <v>404</v>
      </c>
      <c r="N7" s="29" t="s">
        <v>7</v>
      </c>
      <c r="O7" s="29" t="s">
        <v>410</v>
      </c>
      <c r="P7" s="67"/>
    </row>
    <row r="8" spans="1:16" s="9" customFormat="1">
      <c r="B8" s="143" t="s">
        <v>1</v>
      </c>
      <c r="C8" s="142" t="s">
        <v>1046</v>
      </c>
      <c r="D8" s="84"/>
      <c r="E8" s="85"/>
      <c r="F8" s="85"/>
      <c r="G8" s="85"/>
      <c r="H8" s="85"/>
      <c r="I8" s="85"/>
      <c r="J8" s="85"/>
      <c r="K8" s="85"/>
      <c r="L8" s="85"/>
      <c r="M8" s="85"/>
      <c r="N8" s="39"/>
      <c r="O8" s="30"/>
      <c r="P8" s="68"/>
    </row>
    <row r="9" spans="1:16" s="10" customFormat="1" ht="30">
      <c r="B9" s="143" t="s">
        <v>2</v>
      </c>
      <c r="C9" s="117" t="s">
        <v>43</v>
      </c>
      <c r="D9" s="84"/>
      <c r="E9" s="85"/>
      <c r="F9" s="85"/>
      <c r="G9" s="85"/>
      <c r="H9" s="85"/>
      <c r="I9" s="85"/>
      <c r="J9" s="85"/>
      <c r="K9" s="85"/>
      <c r="L9" s="85"/>
      <c r="M9" s="85"/>
      <c r="N9" s="39"/>
      <c r="O9" s="30"/>
      <c r="P9" s="68"/>
    </row>
    <row r="10" spans="1:16" ht="30">
      <c r="B10" s="143" t="s">
        <v>42</v>
      </c>
      <c r="C10" s="117" t="s">
        <v>1247</v>
      </c>
      <c r="D10" s="2">
        <f>SUM(E10:I10)+SUM(K10:M10)</f>
        <v>1</v>
      </c>
      <c r="E10" s="81"/>
      <c r="F10" s="81"/>
      <c r="G10" s="81">
        <v>1</v>
      </c>
      <c r="H10" s="81"/>
      <c r="I10" s="81"/>
      <c r="J10" s="81"/>
      <c r="K10" s="81"/>
      <c r="L10" s="81"/>
      <c r="M10" s="81"/>
      <c r="N10" s="31"/>
      <c r="O10" s="116" t="str">
        <f>IF(NOT((J10+K10=0)*AND(H10+I10&gt;1)),"   ","Подсказка - обратить внимание на заполнение столбца М (адм. центры субъектов РФ) - они есть всех кроме Московской и Ленинградской областей, а также городов федерального значения Москвы, Санкт-Петербурга и Севастополя)")</f>
        <v xml:space="preserve">   </v>
      </c>
      <c r="P10" s="69"/>
    </row>
    <row r="11" spans="1:16" ht="30">
      <c r="B11" s="143" t="s">
        <v>641</v>
      </c>
      <c r="C11" s="117" t="s">
        <v>984</v>
      </c>
      <c r="D11" s="104">
        <f t="shared" ref="D11:D12" si="0">SUM(E11:I11)+SUM(K11:M11)</f>
        <v>1</v>
      </c>
      <c r="E11" s="81"/>
      <c r="F11" s="81"/>
      <c r="G11" s="81">
        <v>1</v>
      </c>
      <c r="H11" s="81"/>
      <c r="I11" s="81"/>
      <c r="J11" s="81"/>
      <c r="K11" s="81"/>
      <c r="L11" s="81"/>
      <c r="M11" s="81"/>
      <c r="N11" s="31"/>
      <c r="O11" s="31"/>
      <c r="P11" s="69"/>
    </row>
    <row r="12" spans="1:16" ht="45">
      <c r="B12" s="144" t="s">
        <v>411</v>
      </c>
      <c r="C12" s="145" t="s">
        <v>1248</v>
      </c>
      <c r="D12" s="104">
        <f t="shared" si="0"/>
        <v>1</v>
      </c>
      <c r="E12" s="82"/>
      <c r="F12" s="82"/>
      <c r="G12" s="82">
        <v>1</v>
      </c>
      <c r="H12" s="82"/>
      <c r="I12" s="82"/>
      <c r="J12" s="81"/>
      <c r="K12" s="82"/>
      <c r="L12" s="82"/>
      <c r="M12" s="82"/>
      <c r="N12" s="31"/>
      <c r="O12" s="80" t="str">
        <f>IF(((D12=D10)*AND(E12=E10)*AND(F12=F10)*AND(G12=G10)*AND(H12=H10)*AND(I12=I10)*AND(K12=K10)*AND(L12=L10)*AND(M12=M10)*AND(J12=J10)),"   ","Нужно заполнить пункт 1 текстовой формы - расхождения между данными субъектов РФ и данными реестра...)")</f>
        <v xml:space="preserve">   </v>
      </c>
      <c r="P12" s="69"/>
    </row>
    <row r="13" spans="1:16" s="24" customFormat="1" ht="30">
      <c r="B13" s="141" t="s">
        <v>611</v>
      </c>
      <c r="C13" s="142" t="s">
        <v>41</v>
      </c>
      <c r="D13" s="84"/>
      <c r="E13" s="85"/>
      <c r="F13" s="85"/>
      <c r="G13" s="85"/>
      <c r="H13" s="85"/>
      <c r="I13" s="85"/>
      <c r="J13" s="85"/>
      <c r="K13" s="85"/>
      <c r="L13" s="85"/>
      <c r="M13" s="85"/>
      <c r="N13" s="39"/>
      <c r="O13" s="30"/>
      <c r="P13" s="69"/>
    </row>
    <row r="14" spans="1:16" s="105" customFormat="1" ht="30">
      <c r="B14" s="144" t="s">
        <v>235</v>
      </c>
      <c r="C14" s="145" t="s">
        <v>409</v>
      </c>
      <c r="D14" s="104">
        <f t="shared" ref="D14:D35" si="1">SUM(E14:I14)+SUM(K14:M14)</f>
        <v>0</v>
      </c>
      <c r="E14" s="82"/>
      <c r="F14" s="82"/>
      <c r="G14" s="82"/>
      <c r="H14" s="82"/>
      <c r="I14" s="82"/>
      <c r="J14" s="82"/>
      <c r="K14" s="82"/>
      <c r="L14" s="82"/>
      <c r="M14" s="82"/>
      <c r="N14" s="66" t="str">
        <f>IF((D14&lt;=D$10)*AND(E14&lt;=E$10)*AND(F14&lt;=F$10)*AND(G14&lt;=G$10)*AND(H14&lt;=H$10)*AND(I14&lt;=I$10)*AND(K14&lt;=K$10)*AND(L14&lt;=L$10)*AND(M14&lt;=M$10)*AND(J14&lt;=J$10),"Выполнено","ПРОВЕРИТЬ (таких муниципальных образований не может быть больше их общего числа)")</f>
        <v>Выполнено</v>
      </c>
      <c r="O14" s="80" t="str">
        <f>IF(((D14=0)),"   ","Нужно заполнить пункт 2 текстовой части (приграничные...)")</f>
        <v xml:space="preserve">   </v>
      </c>
      <c r="P14" s="69"/>
    </row>
    <row r="15" spans="1:16" s="105" customFormat="1" ht="30">
      <c r="B15" s="144" t="s">
        <v>236</v>
      </c>
      <c r="C15" s="145" t="s">
        <v>44</v>
      </c>
      <c r="D15" s="104">
        <f t="shared" si="1"/>
        <v>0</v>
      </c>
      <c r="E15" s="82"/>
      <c r="F15" s="82"/>
      <c r="G15" s="82"/>
      <c r="H15" s="82"/>
      <c r="I15" s="82"/>
      <c r="J15" s="82"/>
      <c r="K15" s="82"/>
      <c r="L15" s="82"/>
      <c r="M15" s="82"/>
      <c r="N15" s="66" t="str">
        <f>IF((D15&lt;=D$10)*AND(E15&lt;=E$10)*AND(F15&lt;=F$10)*AND(G15&lt;=G$10)*AND(H15&lt;=H$10)*AND(I15&lt;=I$10)*AND(K15&lt;=K$10)*AND(L15&lt;=L$10)*AND(M15&lt;=M$10)*AND(J15&lt;=J$10),"Выполнено","ПРОВЕРИТЬ (таких муниципальных образований не может быть больше их общего числа)")</f>
        <v>Выполнено</v>
      </c>
      <c r="O15" s="80" t="str">
        <f>IF(((D15=0)),"   ","Нужно заполнить пункт 3 текстовой части (имеющие выход к морю...)")</f>
        <v xml:space="preserve">   </v>
      </c>
      <c r="P15" s="69"/>
    </row>
    <row r="16" spans="1:16" s="105" customFormat="1" ht="30">
      <c r="B16" s="144" t="s">
        <v>237</v>
      </c>
      <c r="C16" s="145" t="s">
        <v>634</v>
      </c>
      <c r="D16" s="104">
        <f t="shared" si="1"/>
        <v>0</v>
      </c>
      <c r="E16" s="82"/>
      <c r="F16" s="82"/>
      <c r="G16" s="82"/>
      <c r="H16" s="82"/>
      <c r="I16" s="82"/>
      <c r="J16" s="82"/>
      <c r="K16" s="82"/>
      <c r="L16" s="82"/>
      <c r="M16" s="82"/>
      <c r="N16" s="66" t="str">
        <f>IF((D16&lt;=D$10)*AND(E16&lt;=E$10)*AND(F16&lt;=F$10)*AND(G16&lt;=G$10)*AND(H16&lt;=H$10)*AND(I16&lt;=I$10)*AND(K16&lt;=K$10)*AND(L16&lt;=L$10)*AND(M16&lt;=M$10)*AND(J16&lt;=J$10),"Выполнено","ПРОВЕРИТЬ (таких муниципальных образований не может быть больше их общего числа)")</f>
        <v>Выполнено</v>
      </c>
      <c r="O16" s="80" t="str">
        <f>IF(((D16=0)),"   ","Нужно заполнить пункт 4 текстовой части (расположенные на островах...)")</f>
        <v xml:space="preserve">   </v>
      </c>
      <c r="P16" s="69"/>
    </row>
    <row r="17" spans="2:16" ht="30">
      <c r="B17" s="141" t="s">
        <v>337</v>
      </c>
      <c r="C17" s="142" t="s">
        <v>45</v>
      </c>
      <c r="D17" s="84"/>
      <c r="E17" s="85"/>
      <c r="F17" s="85"/>
      <c r="G17" s="85"/>
      <c r="H17" s="85"/>
      <c r="I17" s="85"/>
      <c r="J17" s="85"/>
      <c r="K17" s="85"/>
      <c r="L17" s="85"/>
      <c r="M17" s="85"/>
      <c r="N17" s="39"/>
      <c r="O17" s="30"/>
      <c r="P17" s="68"/>
    </row>
    <row r="18" spans="2:16" ht="30">
      <c r="B18" s="143" t="s">
        <v>319</v>
      </c>
      <c r="C18" s="117" t="s">
        <v>46</v>
      </c>
      <c r="D18" s="104">
        <f t="shared" si="1"/>
        <v>1</v>
      </c>
      <c r="E18" s="41">
        <f>SUM(E19:E26)</f>
        <v>0</v>
      </c>
      <c r="F18" s="41">
        <f t="shared" ref="F18:M18" si="2">SUM(F19:F26)</f>
        <v>0</v>
      </c>
      <c r="G18" s="41">
        <f t="shared" si="2"/>
        <v>1</v>
      </c>
      <c r="H18" s="41">
        <f t="shared" si="2"/>
        <v>0</v>
      </c>
      <c r="I18" s="41">
        <f t="shared" si="2"/>
        <v>0</v>
      </c>
      <c r="J18" s="41">
        <f>SUM(J19:J26)</f>
        <v>0</v>
      </c>
      <c r="K18" s="41">
        <f t="shared" si="2"/>
        <v>0</v>
      </c>
      <c r="L18" s="41">
        <f t="shared" si="2"/>
        <v>0</v>
      </c>
      <c r="M18" s="41">
        <f t="shared" si="2"/>
        <v>0</v>
      </c>
      <c r="N18" s="66" t="str">
        <f>IF((D18=D$10)*AND(E18=E$10)*AND(F18=F$10)*AND(G18=G$10)*AND(H18=H$10)*AND(I18=I$10)*AND(K18=K$10)*AND(L18=L$10)*AND(M18=M$10)*AND(J18=J$10),"Выполнено","ПРОВЕРИТЬ (в сумме должно получиться общее число муниципальных образований)")</f>
        <v>Выполнено</v>
      </c>
      <c r="O18" s="31"/>
      <c r="P18" s="70"/>
    </row>
    <row r="19" spans="2:16">
      <c r="B19" s="144" t="s">
        <v>242</v>
      </c>
      <c r="C19" s="145" t="s">
        <v>1192</v>
      </c>
      <c r="D19" s="104">
        <f t="shared" si="1"/>
        <v>0</v>
      </c>
      <c r="E19" s="82"/>
      <c r="F19" s="82"/>
      <c r="G19" s="82"/>
      <c r="H19" s="82"/>
      <c r="I19" s="82"/>
      <c r="J19" s="82"/>
      <c r="K19" s="82"/>
      <c r="L19" s="82"/>
      <c r="M19" s="82"/>
      <c r="N19" s="31"/>
      <c r="O19" s="80" t="str">
        <f>IF(((D19=0)),"   ","Нужно заполнить пункт 5 текстовой части (муниципалитеты с нехарактерно малой площадью...)")</f>
        <v xml:space="preserve">   </v>
      </c>
      <c r="P19" s="70"/>
    </row>
    <row r="20" spans="2:16">
      <c r="B20" s="144" t="s">
        <v>243</v>
      </c>
      <c r="C20" s="145" t="s">
        <v>1193</v>
      </c>
      <c r="D20" s="104">
        <f t="shared" si="1"/>
        <v>1</v>
      </c>
      <c r="E20" s="82"/>
      <c r="F20" s="81"/>
      <c r="G20" s="81">
        <v>1</v>
      </c>
      <c r="H20" s="82"/>
      <c r="I20" s="82"/>
      <c r="J20" s="82"/>
      <c r="K20" s="82"/>
      <c r="L20" s="81"/>
      <c r="M20" s="81"/>
      <c r="N20" s="31"/>
      <c r="O20" s="80" t="str">
        <f>IF(((E20+H20+I20+K20=0)),"   ","Нужно заполнить пункт 5 текстовой части (муниципалитеты с нехарактерно малой площадью...)")</f>
        <v xml:space="preserve">   </v>
      </c>
      <c r="P20" s="70"/>
    </row>
    <row r="21" spans="2:16">
      <c r="B21" s="144" t="s">
        <v>244</v>
      </c>
      <c r="C21" s="145" t="s">
        <v>1194</v>
      </c>
      <c r="D21" s="104">
        <f t="shared" si="1"/>
        <v>0</v>
      </c>
      <c r="E21" s="82"/>
      <c r="F21" s="81"/>
      <c r="G21" s="81"/>
      <c r="H21" s="82"/>
      <c r="I21" s="81"/>
      <c r="J21" s="81"/>
      <c r="K21" s="81"/>
      <c r="L21" s="81"/>
      <c r="M21" s="81"/>
      <c r="N21" s="31"/>
      <c r="O21" s="80" t="str">
        <f>IF(((E21+H21=0)),"   ","Нужно заполнить пункт 5 текстовой части (муниципалитеты с нехарактерно малой площадью...)")</f>
        <v xml:space="preserve">   </v>
      </c>
      <c r="P21" s="68"/>
    </row>
    <row r="22" spans="2:16">
      <c r="B22" s="143" t="s">
        <v>34</v>
      </c>
      <c r="C22" s="117" t="s">
        <v>1195</v>
      </c>
      <c r="D22" s="104">
        <f t="shared" si="1"/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31"/>
      <c r="O22" s="31"/>
      <c r="P22" s="71"/>
    </row>
    <row r="23" spans="2:16">
      <c r="B23" s="144" t="s">
        <v>245</v>
      </c>
      <c r="C23" s="145" t="s">
        <v>1196</v>
      </c>
      <c r="D23" s="104">
        <f t="shared" si="1"/>
        <v>0</v>
      </c>
      <c r="E23" s="81"/>
      <c r="F23" s="82"/>
      <c r="G23" s="82"/>
      <c r="H23" s="81"/>
      <c r="I23" s="82"/>
      <c r="J23" s="82"/>
      <c r="K23" s="82"/>
      <c r="L23" s="82"/>
      <c r="M23" s="82"/>
      <c r="N23" s="31"/>
      <c r="O23" s="80" t="str">
        <f>IF(((F23+G23+I23+K23+L23+M23=0)),"   ","Нужно заполнить пункт 5 текстовой части (муниципалитеты с нехарактерно Большой площадью...)")</f>
        <v xml:space="preserve">   </v>
      </c>
      <c r="P23" s="69"/>
    </row>
    <row r="24" spans="2:16">
      <c r="B24" s="144" t="s">
        <v>246</v>
      </c>
      <c r="C24" s="145" t="s">
        <v>1197</v>
      </c>
      <c r="D24" s="104">
        <f t="shared" si="1"/>
        <v>0</v>
      </c>
      <c r="E24" s="82"/>
      <c r="F24" s="82"/>
      <c r="G24" s="82"/>
      <c r="H24" s="82"/>
      <c r="I24" s="82"/>
      <c r="J24" s="82"/>
      <c r="K24" s="82"/>
      <c r="L24" s="82"/>
      <c r="M24" s="82"/>
      <c r="N24" s="31"/>
      <c r="O24" s="80" t="str">
        <f>IF(((D24=0)),"   ","Нужно заполнить пункт 5 текстовой части (муниципалитеты с нехарактерно большой площадью...)")</f>
        <v xml:space="preserve">   </v>
      </c>
      <c r="P24" s="69"/>
    </row>
    <row r="25" spans="2:16">
      <c r="B25" s="144" t="s">
        <v>247</v>
      </c>
      <c r="C25" s="145" t="s">
        <v>47</v>
      </c>
      <c r="D25" s="104">
        <f t="shared" si="1"/>
        <v>0</v>
      </c>
      <c r="E25" s="82"/>
      <c r="F25" s="82"/>
      <c r="G25" s="82"/>
      <c r="H25" s="82"/>
      <c r="I25" s="82"/>
      <c r="J25" s="82"/>
      <c r="K25" s="82"/>
      <c r="L25" s="82"/>
      <c r="M25" s="82"/>
      <c r="N25" s="31"/>
      <c r="O25" s="80" t="str">
        <f>IF(((D25=0)),"   ","Нужно заполнить пункт 5 текстовой части (муниципалитеты с нехарактерно большой площадью...)")</f>
        <v xml:space="preserve">   </v>
      </c>
      <c r="P25" s="69"/>
    </row>
    <row r="26" spans="2:16">
      <c r="B26" s="143" t="s">
        <v>248</v>
      </c>
      <c r="C26" s="117" t="s">
        <v>210</v>
      </c>
      <c r="D26" s="104">
        <f t="shared" si="1"/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31"/>
      <c r="O26" s="31"/>
      <c r="P26" s="69"/>
    </row>
    <row r="27" spans="2:16" ht="30">
      <c r="B27" s="143" t="s">
        <v>249</v>
      </c>
      <c r="C27" s="117" t="s">
        <v>48</v>
      </c>
      <c r="D27" s="104">
        <f t="shared" si="1"/>
        <v>1</v>
      </c>
      <c r="E27" s="41">
        <f t="shared" ref="E27:M27" si="3">SUM(E28:E35)</f>
        <v>0</v>
      </c>
      <c r="F27" s="41">
        <f t="shared" si="3"/>
        <v>0</v>
      </c>
      <c r="G27" s="41">
        <f t="shared" si="3"/>
        <v>1</v>
      </c>
      <c r="H27" s="41">
        <f t="shared" si="3"/>
        <v>0</v>
      </c>
      <c r="I27" s="41">
        <f t="shared" si="3"/>
        <v>0</v>
      </c>
      <c r="J27" s="41">
        <f t="shared" si="3"/>
        <v>0</v>
      </c>
      <c r="K27" s="41">
        <f t="shared" si="3"/>
        <v>0</v>
      </c>
      <c r="L27" s="41">
        <f t="shared" si="3"/>
        <v>0</v>
      </c>
      <c r="M27" s="41">
        <f t="shared" si="3"/>
        <v>0</v>
      </c>
      <c r="N27" s="66" t="str">
        <f>IF((D27=D$10)*AND(E27=E$10)*AND(F27=F$10)*AND(G27=G$10)*AND(H27=H$10)*AND(I27=I$10)*AND(K27=K$10)*AND(L27=L$10)*AND(M27=M$10)*AND(J27=J$10),"Выполнено","ПРОВЕРИТЬ (в сумме должно получиться общее число муниципальных образований)")</f>
        <v>Выполнено</v>
      </c>
      <c r="O27" s="31"/>
      <c r="P27" s="69"/>
    </row>
    <row r="28" spans="2:16">
      <c r="B28" s="144" t="s">
        <v>250</v>
      </c>
      <c r="C28" s="145" t="s">
        <v>317</v>
      </c>
      <c r="D28" s="104">
        <f t="shared" si="1"/>
        <v>0</v>
      </c>
      <c r="E28" s="82"/>
      <c r="F28" s="82"/>
      <c r="G28" s="82"/>
      <c r="H28" s="82"/>
      <c r="I28" s="82"/>
      <c r="J28" s="82"/>
      <c r="K28" s="82"/>
      <c r="L28" s="82"/>
      <c r="M28" s="82"/>
      <c r="N28" s="31"/>
      <c r="O28" s="80" t="str">
        <f>IF(((D28=0)),"   ","Нужно заполнить пункт 6 текстовой части (муниципалитеты с нехарактерно низкой численностью населения...)")</f>
        <v xml:space="preserve">   </v>
      </c>
      <c r="P28" s="69"/>
    </row>
    <row r="29" spans="2:16">
      <c r="B29" s="144" t="s">
        <v>251</v>
      </c>
      <c r="C29" s="145" t="s">
        <v>987</v>
      </c>
      <c r="D29" s="104">
        <f t="shared" si="1"/>
        <v>1</v>
      </c>
      <c r="E29" s="82"/>
      <c r="F29" s="82"/>
      <c r="G29" s="83">
        <v>1</v>
      </c>
      <c r="H29" s="82"/>
      <c r="I29" s="82"/>
      <c r="J29" s="82"/>
      <c r="K29" s="82"/>
      <c r="L29" s="82"/>
      <c r="M29" s="82"/>
      <c r="N29" s="31"/>
      <c r="O29" s="80" t="str">
        <f>IF(((D29-G29=0)),"   ","Нужно заполнить пункт 6 текстовой части (муниципалитеты с нехарактерно низкой численностью населения...)")</f>
        <v xml:space="preserve">   </v>
      </c>
      <c r="P29" s="71"/>
    </row>
    <row r="30" spans="2:16" s="24" customFormat="1">
      <c r="B30" s="144" t="s">
        <v>989</v>
      </c>
      <c r="C30" s="145" t="s">
        <v>988</v>
      </c>
      <c r="D30" s="104">
        <f t="shared" si="1"/>
        <v>0</v>
      </c>
      <c r="E30" s="81"/>
      <c r="F30" s="81"/>
      <c r="G30" s="81"/>
      <c r="H30" s="81"/>
      <c r="I30" s="82"/>
      <c r="J30" s="82"/>
      <c r="K30" s="82"/>
      <c r="L30" s="81"/>
      <c r="M30" s="81"/>
      <c r="N30" s="31"/>
      <c r="O30" s="111" t="str">
        <f>IF(((I30+K30=0)),"   ","Нужно заполнить пункт 6 текстовой части (муниципалитеты с нехарактерно низкой численностью населения...)")</f>
        <v xml:space="preserve">   </v>
      </c>
      <c r="P30" s="69"/>
    </row>
    <row r="31" spans="2:16">
      <c r="B31" s="144" t="s">
        <v>318</v>
      </c>
      <c r="C31" s="145" t="s">
        <v>571</v>
      </c>
      <c r="D31" s="104">
        <f t="shared" si="1"/>
        <v>0</v>
      </c>
      <c r="E31" s="81"/>
      <c r="F31" s="81"/>
      <c r="G31" s="82"/>
      <c r="H31" s="81"/>
      <c r="I31" s="81"/>
      <c r="J31" s="81"/>
      <c r="K31" s="81"/>
      <c r="L31" s="81"/>
      <c r="M31" s="81"/>
      <c r="N31" s="31"/>
      <c r="O31" s="80" t="str">
        <f>IF(((G31=0)),"   ","Нужно заполнить пункт 6 текстовой части (муниципалитеты с нехарактерно высокой численностью населения...)")</f>
        <v xml:space="preserve">   </v>
      </c>
      <c r="P31" s="69"/>
    </row>
    <row r="32" spans="2:16" s="24" customFormat="1">
      <c r="B32" s="144" t="s">
        <v>286</v>
      </c>
      <c r="C32" s="145" t="s">
        <v>990</v>
      </c>
      <c r="D32" s="104">
        <f t="shared" si="1"/>
        <v>0</v>
      </c>
      <c r="E32" s="81"/>
      <c r="F32" s="81"/>
      <c r="G32" s="82"/>
      <c r="H32" s="81"/>
      <c r="I32" s="81"/>
      <c r="J32" s="81"/>
      <c r="K32" s="81"/>
      <c r="L32" s="81"/>
      <c r="M32" s="81"/>
      <c r="N32" s="31"/>
      <c r="O32" s="111" t="str">
        <f>IF(((G32=0)),"   ","Нужно заполнить пункт 6 текстовой части (муниципалитеты с нехарактерно высокой численностью населения...)")</f>
        <v xml:space="preserve">   </v>
      </c>
      <c r="P32" s="69"/>
    </row>
    <row r="33" spans="2:16">
      <c r="B33" s="144" t="s">
        <v>252</v>
      </c>
      <c r="C33" s="145" t="s">
        <v>414</v>
      </c>
      <c r="D33" s="104">
        <f t="shared" si="1"/>
        <v>0</v>
      </c>
      <c r="E33" s="81"/>
      <c r="F33" s="82"/>
      <c r="G33" s="82"/>
      <c r="H33" s="81"/>
      <c r="I33" s="81"/>
      <c r="J33" s="81"/>
      <c r="K33" s="81"/>
      <c r="L33" s="81"/>
      <c r="M33" s="81"/>
      <c r="N33" s="31"/>
      <c r="O33" s="80" t="str">
        <f>IF(((F33+G33=0)),"   ","Нужно заполнить пункт 6 текстовой части (муниципалитеты с нехарактерно высокой численностью населения...)")</f>
        <v xml:space="preserve">   </v>
      </c>
      <c r="P33" s="69"/>
    </row>
    <row r="34" spans="2:16" s="24" customFormat="1">
      <c r="B34" s="144" t="s">
        <v>412</v>
      </c>
      <c r="C34" s="145" t="s">
        <v>991</v>
      </c>
      <c r="D34" s="104">
        <f t="shared" si="1"/>
        <v>0</v>
      </c>
      <c r="E34" s="82"/>
      <c r="F34" s="82"/>
      <c r="G34" s="82"/>
      <c r="H34" s="82"/>
      <c r="I34" s="81"/>
      <c r="J34" s="81"/>
      <c r="K34" s="81"/>
      <c r="L34" s="82"/>
      <c r="M34" s="82"/>
      <c r="N34" s="31"/>
      <c r="O34" s="111" t="str">
        <f>IF(((E34+F34+G34+H34+L34+M34=0)),"   ","Нужно заполнить пункт 6 текстовой части (муниципалитеты с нехарактерно высокой численностью населения...)")</f>
        <v xml:space="preserve">   </v>
      </c>
      <c r="P34" s="69"/>
    </row>
    <row r="35" spans="2:16" s="24" customFormat="1">
      <c r="B35" s="144" t="s">
        <v>413</v>
      </c>
      <c r="C35" s="145" t="s">
        <v>49</v>
      </c>
      <c r="D35" s="104">
        <f t="shared" si="1"/>
        <v>0</v>
      </c>
      <c r="E35" s="82"/>
      <c r="F35" s="82"/>
      <c r="G35" s="82"/>
      <c r="H35" s="82"/>
      <c r="I35" s="81"/>
      <c r="J35" s="81"/>
      <c r="K35" s="81"/>
      <c r="L35" s="82"/>
      <c r="M35" s="82"/>
      <c r="N35" s="31"/>
      <c r="O35" s="111" t="str">
        <f>IF(((E35+F35+G35+H35+L35+M35=0)),"   ","Нужно заполнить пункт 6 текстовой части (муниципалитеты с нехарактерно высокой численностью населения...)")</f>
        <v xml:space="preserve">   </v>
      </c>
      <c r="P35" s="69"/>
    </row>
    <row r="36" spans="2:16" s="24" customFormat="1" ht="45">
      <c r="B36" s="143" t="s">
        <v>415</v>
      </c>
      <c r="C36" s="117" t="s">
        <v>1198</v>
      </c>
      <c r="D36" s="84"/>
      <c r="E36" s="85"/>
      <c r="F36" s="85"/>
      <c r="G36" s="85"/>
      <c r="H36" s="85"/>
      <c r="I36" s="85"/>
      <c r="J36" s="85"/>
      <c r="K36" s="85"/>
      <c r="L36" s="85"/>
      <c r="M36" s="85"/>
      <c r="N36" s="39"/>
      <c r="O36" s="30"/>
      <c r="P36" s="69"/>
    </row>
    <row r="37" spans="2:16" s="24" customFormat="1" ht="30">
      <c r="B37" s="143" t="s">
        <v>416</v>
      </c>
      <c r="C37" s="117" t="s">
        <v>992</v>
      </c>
      <c r="D37" s="2">
        <f>E37+H37+I37+K37</f>
        <v>0</v>
      </c>
      <c r="E37" s="40"/>
      <c r="F37" s="86"/>
      <c r="G37" s="75"/>
      <c r="H37" s="81"/>
      <c r="I37" s="82"/>
      <c r="J37" s="40"/>
      <c r="K37" s="81"/>
      <c r="L37" s="86"/>
      <c r="M37" s="75"/>
      <c r="N37" s="66" t="str">
        <f>IF((D37&lt;=D$10)*AND(E37&lt;=E$10)*AND(H37&lt;=H$10)*AND(I37&lt;=I$10)*AND(K37&lt;=K$10)*AND(J37&lt;=J$10),"Выполнено","ПРОВЕРИТЬ (таких муниципальных образований не может быть больше чем всего муниципальных образований соответствующего вида)")</f>
        <v>Выполнено</v>
      </c>
      <c r="O37" s="111" t="str">
        <f>IF(((I37-I10=0)),"   ","Нужно заполнить пункт 7 текстовой части (городские округа, не соответствующие установленным критериям...)")</f>
        <v xml:space="preserve">   </v>
      </c>
      <c r="P37" s="69"/>
    </row>
    <row r="38" spans="2:16" ht="45">
      <c r="B38" s="143" t="s">
        <v>417</v>
      </c>
      <c r="C38" s="117" t="s">
        <v>993</v>
      </c>
      <c r="D38" s="104">
        <f t="shared" ref="D38:D40" si="4">E38+H38+I38+K38</f>
        <v>0</v>
      </c>
      <c r="E38" s="40"/>
      <c r="F38" s="86"/>
      <c r="G38" s="75"/>
      <c r="H38" s="81"/>
      <c r="I38" s="82"/>
      <c r="J38" s="40"/>
      <c r="K38" s="81"/>
      <c r="L38" s="86"/>
      <c r="M38" s="75"/>
      <c r="N38" s="66" t="str">
        <f>IF((D38&lt;=D$10)*AND(E38&lt;=E$10)*AND(H38&lt;=H$10)*AND(I38&lt;=I$10)*AND(K38&lt;=K$10)*AND(J38&lt;=J$10),"Выполнено","ПРОВЕРИТЬ (таких муниципальных образований не может быть больше чем всего муниципальных образований соответствующего вида)")</f>
        <v>Выполнено</v>
      </c>
      <c r="O38" s="111" t="str">
        <f>IF(((I38-I10=0)),"   ","Нужно заполнить пункт 7 текстовой части (городские округа, не соответствующие установленным критериям...)")</f>
        <v xml:space="preserve">   </v>
      </c>
      <c r="P38" s="69"/>
    </row>
    <row r="39" spans="2:16" ht="30">
      <c r="B39" s="143" t="s">
        <v>418</v>
      </c>
      <c r="C39" s="117" t="s">
        <v>994</v>
      </c>
      <c r="D39" s="104">
        <f t="shared" si="4"/>
        <v>0</v>
      </c>
      <c r="E39" s="40"/>
      <c r="F39" s="86"/>
      <c r="G39" s="75"/>
      <c r="H39" s="81"/>
      <c r="I39" s="82"/>
      <c r="J39" s="40"/>
      <c r="K39" s="81"/>
      <c r="L39" s="86"/>
      <c r="M39" s="75"/>
      <c r="N39" s="66" t="str">
        <f>IF((D39&lt;=D$10)*AND(E39&lt;=E$10)*AND(H39&lt;=H$10)*AND(I39&lt;=I$10)*AND(K39&lt;=K$10)*AND(J39&lt;=J$10),"Выполнено","ПРОВЕРИТЬ (таких муниципальных образований не может быть больше чем всего муниципальных образований соответствующего вида)")</f>
        <v>Выполнено</v>
      </c>
      <c r="O39" s="111" t="str">
        <f>IF(((I39-I10=0)),"   ","Нужно заполнить пункт 7 текстовой части (городские округа, не соответствующие установленным критериям...)")</f>
        <v xml:space="preserve">   </v>
      </c>
      <c r="P39" s="69"/>
    </row>
    <row r="40" spans="2:16" s="24" customFormat="1" ht="45">
      <c r="B40" s="143" t="s">
        <v>419</v>
      </c>
      <c r="C40" s="117" t="s">
        <v>1199</v>
      </c>
      <c r="D40" s="104">
        <f t="shared" si="4"/>
        <v>0</v>
      </c>
      <c r="E40" s="40"/>
      <c r="F40" s="86"/>
      <c r="G40" s="75"/>
      <c r="H40" s="81"/>
      <c r="I40" s="82"/>
      <c r="J40" s="40"/>
      <c r="K40" s="81"/>
      <c r="L40" s="86"/>
      <c r="M40" s="75"/>
      <c r="N40" s="66" t="str">
        <f>IF((D40&lt;=MIN(D37,D38,D39))*AND(E40&lt;=MIN(E37,E38,E39))*AND(H40&lt;=MIN(H37,H38,H39))*AND(I40&lt;=MIN(I37,I38,I39))*AND(K40&lt;=MIN(K37,K38,K39))*AND(J40&lt;=MIN(J37,J38,J39)),"Выполнено","ПРОВЕРИТЬ (муниципальных образований, соответствующих всем трем критериям одновременно, не может быть больше, чем соответствующих каждому из них)")</f>
        <v>Выполнено</v>
      </c>
      <c r="O40" s="111" t="str">
        <f>IF(((I40-I10=0)),"   ","Нужно заполнить пункт 7 текстовой части (городские округа, не соответствующие установленным критериям...)")</f>
        <v xml:space="preserve">   </v>
      </c>
      <c r="P40" s="71"/>
    </row>
    <row r="41" spans="2:16" s="24" customFormat="1" ht="30">
      <c r="B41" s="141" t="s">
        <v>338</v>
      </c>
      <c r="C41" s="142" t="s">
        <v>50</v>
      </c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39"/>
      <c r="O41" s="30"/>
      <c r="P41" s="69"/>
    </row>
    <row r="42" spans="2:16" s="24" customFormat="1" ht="30">
      <c r="B42" s="143" t="s">
        <v>420</v>
      </c>
      <c r="C42" s="117" t="s">
        <v>257</v>
      </c>
      <c r="D42" s="2">
        <f>E42</f>
        <v>0</v>
      </c>
      <c r="E42" s="41">
        <f>SUM(E43:E47)</f>
        <v>0</v>
      </c>
      <c r="F42" s="86"/>
      <c r="G42" s="75"/>
      <c r="H42" s="75"/>
      <c r="I42" s="75"/>
      <c r="J42" s="87"/>
      <c r="K42" s="75"/>
      <c r="L42" s="75"/>
      <c r="M42" s="75"/>
      <c r="N42" s="66" t="str">
        <f>IF((E42=E$10),"Выполнено","ПРОВЕРИТЬ (в сумме должно получиться общее число муниципальных районов)")</f>
        <v>Выполнено</v>
      </c>
      <c r="O42" s="31"/>
      <c r="P42" s="69"/>
    </row>
    <row r="43" spans="2:16" s="24" customFormat="1">
      <c r="B43" s="144" t="s">
        <v>255</v>
      </c>
      <c r="C43" s="145" t="s">
        <v>313</v>
      </c>
      <c r="D43" s="104">
        <f t="shared" ref="D43:D52" si="5">E43</f>
        <v>0</v>
      </c>
      <c r="E43" s="38"/>
      <c r="F43" s="86"/>
      <c r="G43" s="75"/>
      <c r="H43" s="75"/>
      <c r="I43" s="75"/>
      <c r="J43" s="87"/>
      <c r="K43" s="75"/>
      <c r="L43" s="75"/>
      <c r="M43" s="75"/>
      <c r="N43" s="31"/>
      <c r="O43" s="80" t="str">
        <f>IF(((E43=0)),"   ","Нужно заполнить пункт 8 текстовой части (муниципальные районы с 1-2 поселениями или без поселений.)")</f>
        <v xml:space="preserve">   </v>
      </c>
      <c r="P43" s="69"/>
    </row>
    <row r="44" spans="2:16" s="24" customFormat="1">
      <c r="B44" s="143" t="s">
        <v>182</v>
      </c>
      <c r="C44" s="117" t="s">
        <v>423</v>
      </c>
      <c r="D44" s="104">
        <f t="shared" si="5"/>
        <v>0</v>
      </c>
      <c r="E44" s="40"/>
      <c r="F44" s="86"/>
      <c r="G44" s="75"/>
      <c r="H44" s="75"/>
      <c r="I44" s="75"/>
      <c r="J44" s="87"/>
      <c r="K44" s="75"/>
      <c r="L44" s="75"/>
      <c r="M44" s="75"/>
      <c r="N44" s="31"/>
      <c r="O44" s="31"/>
      <c r="P44" s="69"/>
    </row>
    <row r="45" spans="2:16">
      <c r="B45" s="143" t="s">
        <v>183</v>
      </c>
      <c r="C45" s="117" t="s">
        <v>424</v>
      </c>
      <c r="D45" s="104">
        <f t="shared" si="5"/>
        <v>0</v>
      </c>
      <c r="E45" s="40"/>
      <c r="F45" s="86"/>
      <c r="G45" s="75"/>
      <c r="H45" s="75"/>
      <c r="I45" s="75"/>
      <c r="J45" s="87"/>
      <c r="K45" s="75"/>
      <c r="L45" s="75"/>
      <c r="M45" s="75"/>
      <c r="N45" s="31"/>
      <c r="O45" s="31"/>
      <c r="P45" s="68"/>
    </row>
    <row r="46" spans="2:16" s="24" customFormat="1">
      <c r="B46" s="143" t="s">
        <v>425</v>
      </c>
      <c r="C46" s="117" t="s">
        <v>253</v>
      </c>
      <c r="D46" s="104">
        <f t="shared" si="5"/>
        <v>0</v>
      </c>
      <c r="E46" s="40"/>
      <c r="F46" s="86"/>
      <c r="G46" s="75"/>
      <c r="H46" s="75"/>
      <c r="I46" s="75"/>
      <c r="J46" s="87"/>
      <c r="K46" s="75"/>
      <c r="L46" s="75"/>
      <c r="M46" s="75"/>
      <c r="N46" s="31"/>
      <c r="O46" s="31"/>
      <c r="P46" s="71"/>
    </row>
    <row r="47" spans="2:16">
      <c r="B47" s="144" t="s">
        <v>426</v>
      </c>
      <c r="C47" s="145" t="s">
        <v>254</v>
      </c>
      <c r="D47" s="104">
        <f t="shared" si="5"/>
        <v>0</v>
      </c>
      <c r="E47" s="38"/>
      <c r="F47" s="86"/>
      <c r="G47" s="75"/>
      <c r="H47" s="75"/>
      <c r="I47" s="75"/>
      <c r="J47" s="87"/>
      <c r="K47" s="75"/>
      <c r="L47" s="75"/>
      <c r="M47" s="75"/>
      <c r="N47" s="31"/>
      <c r="O47" s="80" t="str">
        <f>IF(((E47=0)),"   ","Нужно заполнить пункт 8 текстовой части (муниципальные районы, состоящие из 21 и более поселений.)")</f>
        <v xml:space="preserve">   </v>
      </c>
      <c r="P47" s="69"/>
    </row>
    <row r="48" spans="2:16" ht="30">
      <c r="B48" s="143" t="s">
        <v>314</v>
      </c>
      <c r="C48" s="117" t="s">
        <v>256</v>
      </c>
      <c r="D48" s="104">
        <f t="shared" si="5"/>
        <v>0</v>
      </c>
      <c r="E48" s="41">
        <f>SUM(E49:E51)</f>
        <v>0</v>
      </c>
      <c r="F48" s="86"/>
      <c r="G48" s="75"/>
      <c r="H48" s="75"/>
      <c r="I48" s="75"/>
      <c r="J48" s="87"/>
      <c r="K48" s="75"/>
      <c r="L48" s="75"/>
      <c r="M48" s="75"/>
      <c r="N48" s="66" t="str">
        <f>IF((E48=E$10),"Выполнено","ПРОВЕРИТЬ (в сумме должно получиться общее число муниципальных районов)")</f>
        <v>Выполнено</v>
      </c>
      <c r="O48" s="31"/>
      <c r="P48" s="69"/>
    </row>
    <row r="49" spans="2:16" s="24" customFormat="1">
      <c r="B49" s="143" t="s">
        <v>315</v>
      </c>
      <c r="C49" s="117" t="s">
        <v>238</v>
      </c>
      <c r="D49" s="104">
        <f t="shared" si="5"/>
        <v>0</v>
      </c>
      <c r="E49" s="40"/>
      <c r="F49" s="86"/>
      <c r="G49" s="75"/>
      <c r="H49" s="75"/>
      <c r="I49" s="75"/>
      <c r="J49" s="87"/>
      <c r="K49" s="75"/>
      <c r="L49" s="75"/>
      <c r="M49" s="75"/>
      <c r="N49" s="31"/>
      <c r="O49" s="31"/>
      <c r="P49" s="69"/>
    </row>
    <row r="50" spans="2:16">
      <c r="B50" s="143" t="s">
        <v>258</v>
      </c>
      <c r="C50" s="117" t="s">
        <v>400</v>
      </c>
      <c r="D50" s="104">
        <f t="shared" si="5"/>
        <v>0</v>
      </c>
      <c r="E50" s="40"/>
      <c r="F50" s="86"/>
      <c r="G50" s="75"/>
      <c r="H50" s="75"/>
      <c r="I50" s="75"/>
      <c r="J50" s="87"/>
      <c r="K50" s="75"/>
      <c r="L50" s="75"/>
      <c r="M50" s="75"/>
      <c r="N50" s="31"/>
      <c r="O50" s="31"/>
      <c r="P50" s="69"/>
    </row>
    <row r="51" spans="2:16">
      <c r="B51" s="143" t="s">
        <v>399</v>
      </c>
      <c r="C51" s="117" t="s">
        <v>401</v>
      </c>
      <c r="D51" s="104">
        <f t="shared" si="5"/>
        <v>0</v>
      </c>
      <c r="E51" s="40"/>
      <c r="F51" s="86"/>
      <c r="G51" s="75"/>
      <c r="H51" s="75"/>
      <c r="I51" s="75"/>
      <c r="J51" s="87"/>
      <c r="K51" s="75"/>
      <c r="L51" s="75"/>
      <c r="M51" s="75"/>
      <c r="N51" s="31"/>
      <c r="O51" s="31"/>
      <c r="P51" s="69"/>
    </row>
    <row r="52" spans="2:16" s="24" customFormat="1" ht="30">
      <c r="B52" s="144" t="s">
        <v>259</v>
      </c>
      <c r="C52" s="145" t="s">
        <v>51</v>
      </c>
      <c r="D52" s="104">
        <f t="shared" si="5"/>
        <v>0</v>
      </c>
      <c r="E52" s="38"/>
      <c r="F52" s="88"/>
      <c r="G52" s="89"/>
      <c r="H52" s="89"/>
      <c r="I52" s="89"/>
      <c r="J52" s="90"/>
      <c r="K52" s="89"/>
      <c r="L52" s="89"/>
      <c r="M52" s="89"/>
      <c r="N52" s="66" t="str">
        <f>IF((E52&lt;=E$10),"Выполнено","ПРОВЕРИТЬ (таких муниципальных районов не может быть больше их общего числа)")</f>
        <v>Выполнено</v>
      </c>
      <c r="O52" s="80" t="str">
        <f>IF(((E52=0)),"   ","Нужно заполнить пункт 9 текстовой части 
(муниципальные районы с межселенными территориями")</f>
        <v xml:space="preserve">   </v>
      </c>
      <c r="P52" s="71"/>
    </row>
    <row r="53" spans="2:16" s="24" customFormat="1" ht="30">
      <c r="B53" s="143" t="s">
        <v>261</v>
      </c>
      <c r="C53" s="117" t="s">
        <v>58</v>
      </c>
      <c r="D53" s="104">
        <f t="shared" ref="D53:D57" si="6">SUM(E53:I53)+SUM(K53:M53)</f>
        <v>1</v>
      </c>
      <c r="E53" s="41">
        <f>SUM(E54:E57)</f>
        <v>0</v>
      </c>
      <c r="F53" s="41">
        <f t="shared" ref="F53:K53" si="7">SUM(F54:F57)</f>
        <v>0</v>
      </c>
      <c r="G53" s="41">
        <f t="shared" si="7"/>
        <v>1</v>
      </c>
      <c r="H53" s="41">
        <f t="shared" si="7"/>
        <v>0</v>
      </c>
      <c r="I53" s="41">
        <f t="shared" si="7"/>
        <v>0</v>
      </c>
      <c r="J53" s="41">
        <f>SUM(J54:J57)</f>
        <v>0</v>
      </c>
      <c r="K53" s="41">
        <f t="shared" si="7"/>
        <v>0</v>
      </c>
      <c r="L53" s="41">
        <f t="shared" ref="L53:M53" si="8">SUM(L54:L59)</f>
        <v>0</v>
      </c>
      <c r="M53" s="41">
        <f t="shared" si="8"/>
        <v>0</v>
      </c>
      <c r="N53" s="66" t="str">
        <f>IF((D53=D$10)*AND(E53=E$10)*AND(F53=F$10)*AND(G53=G$10)*AND(H53=H$10)*AND(I53=I$10)*AND(K53=K$10)*AND(L53=L$10)*AND(M53=M$10)*AND(J53=J$10),"Выполнено","ПРОВЕРИТЬ (в сумме должно получиться общее число муниципальных образований)")</f>
        <v>Выполнено</v>
      </c>
      <c r="O53" s="31"/>
      <c r="P53" s="69"/>
    </row>
    <row r="54" spans="2:16" s="24" customFormat="1" ht="30">
      <c r="B54" s="143" t="s">
        <v>35</v>
      </c>
      <c r="C54" s="117" t="s">
        <v>402</v>
      </c>
      <c r="D54" s="104">
        <f t="shared" si="6"/>
        <v>0</v>
      </c>
      <c r="E54" s="42"/>
      <c r="F54" s="42"/>
      <c r="G54" s="42"/>
      <c r="H54" s="42"/>
      <c r="I54" s="42"/>
      <c r="J54" s="40"/>
      <c r="K54" s="42"/>
      <c r="L54" s="42"/>
      <c r="M54" s="42"/>
      <c r="N54" s="31"/>
      <c r="O54" s="31"/>
      <c r="P54" s="69"/>
    </row>
    <row r="55" spans="2:16" s="24" customFormat="1">
      <c r="B55" s="143" t="s">
        <v>54</v>
      </c>
      <c r="C55" s="117" t="s">
        <v>287</v>
      </c>
      <c r="D55" s="104">
        <f t="shared" si="6"/>
        <v>1</v>
      </c>
      <c r="E55" s="40"/>
      <c r="F55" s="40"/>
      <c r="G55" s="40">
        <v>1</v>
      </c>
      <c r="H55" s="40"/>
      <c r="I55" s="40"/>
      <c r="J55" s="40"/>
      <c r="K55" s="40"/>
      <c r="L55" s="40"/>
      <c r="M55" s="40"/>
      <c r="N55" s="31"/>
      <c r="O55" s="31"/>
      <c r="P55" s="69"/>
    </row>
    <row r="56" spans="2:16">
      <c r="B56" s="143" t="s">
        <v>55</v>
      </c>
      <c r="C56" s="117" t="s">
        <v>260</v>
      </c>
      <c r="D56" s="104">
        <f t="shared" si="6"/>
        <v>0</v>
      </c>
      <c r="E56" s="42"/>
      <c r="F56" s="42"/>
      <c r="G56" s="42"/>
      <c r="H56" s="42"/>
      <c r="I56" s="42"/>
      <c r="J56" s="40"/>
      <c r="K56" s="42"/>
      <c r="L56" s="42"/>
      <c r="M56" s="42"/>
      <c r="N56" s="31"/>
      <c r="O56" s="31"/>
      <c r="P56" s="71"/>
    </row>
    <row r="57" spans="2:16">
      <c r="B57" s="143" t="s">
        <v>262</v>
      </c>
      <c r="C57" s="117" t="s">
        <v>52</v>
      </c>
      <c r="D57" s="104">
        <f t="shared" si="6"/>
        <v>0</v>
      </c>
      <c r="E57" s="42"/>
      <c r="F57" s="42"/>
      <c r="G57" s="42"/>
      <c r="H57" s="42"/>
      <c r="I57" s="42"/>
      <c r="J57" s="40"/>
      <c r="K57" s="42"/>
      <c r="L57" s="42"/>
      <c r="M57" s="42"/>
      <c r="N57" s="31"/>
      <c r="O57" s="31"/>
      <c r="P57" s="71"/>
    </row>
    <row r="58" spans="2:16">
      <c r="B58" s="143" t="s">
        <v>263</v>
      </c>
      <c r="C58" s="117" t="s">
        <v>421</v>
      </c>
      <c r="D58" s="104">
        <f>L58+M58</f>
        <v>0</v>
      </c>
      <c r="E58" s="91"/>
      <c r="F58" s="92"/>
      <c r="G58" s="92"/>
      <c r="H58" s="92"/>
      <c r="I58" s="92"/>
      <c r="J58" s="91"/>
      <c r="K58" s="93"/>
      <c r="L58" s="42"/>
      <c r="M58" s="42"/>
      <c r="N58" s="31"/>
      <c r="O58" s="31"/>
      <c r="P58" s="69"/>
    </row>
    <row r="59" spans="2:16" ht="30">
      <c r="B59" s="143" t="s">
        <v>264</v>
      </c>
      <c r="C59" s="117" t="s">
        <v>53</v>
      </c>
      <c r="D59" s="104">
        <f>L59+M59</f>
        <v>0</v>
      </c>
      <c r="E59" s="88"/>
      <c r="F59" s="89"/>
      <c r="G59" s="89"/>
      <c r="H59" s="89"/>
      <c r="I59" s="89"/>
      <c r="J59" s="88"/>
      <c r="K59" s="89"/>
      <c r="L59" s="42"/>
      <c r="M59" s="42"/>
      <c r="N59" s="31"/>
      <c r="O59" s="31"/>
      <c r="P59" s="69"/>
    </row>
    <row r="60" spans="2:16">
      <c r="B60" s="143" t="s">
        <v>265</v>
      </c>
      <c r="C60" s="117" t="s">
        <v>266</v>
      </c>
      <c r="D60" s="84"/>
      <c r="E60" s="85"/>
      <c r="F60" s="85"/>
      <c r="G60" s="85"/>
      <c r="H60" s="85"/>
      <c r="I60" s="85"/>
      <c r="J60" s="85"/>
      <c r="K60" s="85"/>
      <c r="L60" s="85"/>
      <c r="M60" s="85"/>
      <c r="N60" s="39"/>
      <c r="O60" s="30"/>
      <c r="P60" s="69"/>
    </row>
    <row r="61" spans="2:16" ht="30">
      <c r="B61" s="143" t="s">
        <v>56</v>
      </c>
      <c r="C61" s="117" t="s">
        <v>422</v>
      </c>
      <c r="D61" s="104">
        <f>SUM(F61:I61)+K61</f>
        <v>3</v>
      </c>
      <c r="E61" s="94"/>
      <c r="F61" s="41">
        <f>SUM(F62:F64)</f>
        <v>0</v>
      </c>
      <c r="G61" s="41">
        <f t="shared" ref="G61:K61" si="9">SUM(G62:G64)</f>
        <v>3</v>
      </c>
      <c r="H61" s="41">
        <f t="shared" si="9"/>
        <v>0</v>
      </c>
      <c r="I61" s="41">
        <f t="shared" si="9"/>
        <v>0</v>
      </c>
      <c r="J61" s="41">
        <f t="shared" ref="J61" si="10">SUM(J62:J64)</f>
        <v>0</v>
      </c>
      <c r="K61" s="41">
        <f t="shared" si="9"/>
        <v>0</v>
      </c>
      <c r="L61" s="91"/>
      <c r="M61" s="93"/>
      <c r="N61" s="31"/>
      <c r="O61" s="31"/>
      <c r="P61" s="69"/>
    </row>
    <row r="62" spans="2:16">
      <c r="B62" s="143" t="s">
        <v>267</v>
      </c>
      <c r="C62" s="117" t="s">
        <v>270</v>
      </c>
      <c r="D62" s="104">
        <f t="shared" ref="D62:D64" si="11">SUM(F62:I62)+K62</f>
        <v>0</v>
      </c>
      <c r="E62" s="95"/>
      <c r="F62" s="42"/>
      <c r="G62" s="99"/>
      <c r="H62" s="42"/>
      <c r="I62" s="42"/>
      <c r="J62" s="40"/>
      <c r="K62" s="42"/>
      <c r="L62" s="86"/>
      <c r="M62" s="87"/>
      <c r="N62" s="31"/>
      <c r="O62" s="31"/>
      <c r="P62" s="69"/>
    </row>
    <row r="63" spans="2:16">
      <c r="B63" s="143" t="s">
        <v>268</v>
      </c>
      <c r="C63" s="117" t="s">
        <v>271</v>
      </c>
      <c r="D63" s="104">
        <f t="shared" si="11"/>
        <v>0</v>
      </c>
      <c r="E63" s="95"/>
      <c r="F63" s="42"/>
      <c r="G63" s="42"/>
      <c r="H63" s="42"/>
      <c r="I63" s="42"/>
      <c r="J63" s="40"/>
      <c r="K63" s="42"/>
      <c r="L63" s="86"/>
      <c r="M63" s="87"/>
      <c r="N63" s="31"/>
      <c r="O63" s="31"/>
      <c r="P63" s="69"/>
    </row>
    <row r="64" spans="2:16" s="24" customFormat="1">
      <c r="B64" s="143" t="s">
        <v>269</v>
      </c>
      <c r="C64" s="117" t="s">
        <v>272</v>
      </c>
      <c r="D64" s="104">
        <f t="shared" si="11"/>
        <v>3</v>
      </c>
      <c r="E64" s="96"/>
      <c r="F64" s="42"/>
      <c r="G64" s="42">
        <v>3</v>
      </c>
      <c r="H64" s="42"/>
      <c r="I64" s="42"/>
      <c r="J64" s="40"/>
      <c r="K64" s="42"/>
      <c r="L64" s="88"/>
      <c r="M64" s="90"/>
      <c r="N64" s="31"/>
      <c r="O64" s="31"/>
      <c r="P64" s="68"/>
    </row>
    <row r="65" spans="2:16" ht="30">
      <c r="B65" s="143" t="s">
        <v>57</v>
      </c>
      <c r="C65" s="117" t="s">
        <v>273</v>
      </c>
      <c r="D65" s="104">
        <f t="shared" ref="D65:D67" si="12">E65</f>
        <v>0</v>
      </c>
      <c r="E65" s="41">
        <f>SUM(E66:E67)</f>
        <v>0</v>
      </c>
      <c r="F65" s="91"/>
      <c r="G65" s="92"/>
      <c r="H65" s="92"/>
      <c r="I65" s="92"/>
      <c r="J65" s="93"/>
      <c r="K65" s="92"/>
      <c r="L65" s="92"/>
      <c r="M65" s="92"/>
      <c r="N65" s="31"/>
      <c r="O65" s="31"/>
      <c r="P65" s="69"/>
    </row>
    <row r="66" spans="2:16">
      <c r="B66" s="143" t="s">
        <v>275</v>
      </c>
      <c r="C66" s="117" t="s">
        <v>271</v>
      </c>
      <c r="D66" s="104">
        <f t="shared" si="12"/>
        <v>0</v>
      </c>
      <c r="E66" s="42"/>
      <c r="F66" s="86"/>
      <c r="G66" s="97"/>
      <c r="H66" s="97"/>
      <c r="I66" s="97"/>
      <c r="J66" s="87"/>
      <c r="K66" s="97"/>
      <c r="L66" s="97"/>
      <c r="M66" s="97"/>
      <c r="N66" s="31"/>
      <c r="O66" s="31"/>
      <c r="P66" s="69"/>
    </row>
    <row r="67" spans="2:16">
      <c r="B67" s="143" t="s">
        <v>276</v>
      </c>
      <c r="C67" s="117" t="s">
        <v>272</v>
      </c>
      <c r="D67" s="104">
        <f t="shared" si="12"/>
        <v>0</v>
      </c>
      <c r="E67" s="42"/>
      <c r="F67" s="88"/>
      <c r="G67" s="89"/>
      <c r="H67" s="89"/>
      <c r="I67" s="89"/>
      <c r="J67" s="90"/>
      <c r="K67" s="89"/>
      <c r="L67" s="89"/>
      <c r="M67" s="89"/>
      <c r="N67" s="31"/>
      <c r="O67" s="31"/>
      <c r="P67" s="69"/>
    </row>
    <row r="68" spans="2:16" ht="30">
      <c r="B68" s="143" t="s">
        <v>277</v>
      </c>
      <c r="C68" s="117" t="s">
        <v>274</v>
      </c>
      <c r="D68" s="2">
        <f>M68</f>
        <v>0</v>
      </c>
      <c r="E68" s="91"/>
      <c r="F68" s="92"/>
      <c r="G68" s="92"/>
      <c r="H68" s="92"/>
      <c r="I68" s="92"/>
      <c r="J68" s="93"/>
      <c r="K68" s="92"/>
      <c r="L68" s="92"/>
      <c r="M68" s="41">
        <f t="shared" ref="M68" si="13">SUM(M69:M71)</f>
        <v>0</v>
      </c>
      <c r="N68" s="31"/>
      <c r="O68" s="31"/>
      <c r="P68" s="69"/>
    </row>
    <row r="69" spans="2:16">
      <c r="B69" s="143" t="s">
        <v>278</v>
      </c>
      <c r="C69" s="117" t="s">
        <v>59</v>
      </c>
      <c r="D69" s="104">
        <f t="shared" ref="D69:D71" si="14">M69</f>
        <v>0</v>
      </c>
      <c r="E69" s="86"/>
      <c r="F69" s="97"/>
      <c r="G69" s="97"/>
      <c r="H69" s="97"/>
      <c r="I69" s="97"/>
      <c r="J69" s="87"/>
      <c r="K69" s="97"/>
      <c r="L69" s="97"/>
      <c r="M69" s="42"/>
      <c r="N69" s="31"/>
      <c r="O69" s="31"/>
      <c r="P69" s="69"/>
    </row>
    <row r="70" spans="2:16">
      <c r="B70" s="143" t="s">
        <v>279</v>
      </c>
      <c r="C70" s="117" t="s">
        <v>60</v>
      </c>
      <c r="D70" s="104">
        <f t="shared" si="14"/>
        <v>0</v>
      </c>
      <c r="E70" s="86"/>
      <c r="F70" s="97"/>
      <c r="G70" s="97"/>
      <c r="H70" s="97"/>
      <c r="I70" s="97"/>
      <c r="J70" s="87"/>
      <c r="K70" s="97"/>
      <c r="L70" s="97"/>
      <c r="M70" s="42"/>
      <c r="N70" s="31"/>
      <c r="O70" s="31"/>
      <c r="P70" s="69"/>
    </row>
    <row r="71" spans="2:16">
      <c r="B71" s="143" t="s">
        <v>280</v>
      </c>
      <c r="C71" s="117" t="s">
        <v>61</v>
      </c>
      <c r="D71" s="104">
        <f t="shared" si="14"/>
        <v>0</v>
      </c>
      <c r="E71" s="88"/>
      <c r="F71" s="89"/>
      <c r="G71" s="89"/>
      <c r="H71" s="89"/>
      <c r="I71" s="89"/>
      <c r="J71" s="90"/>
      <c r="K71" s="89"/>
      <c r="L71" s="89"/>
      <c r="M71" s="42"/>
      <c r="N71" s="31"/>
      <c r="O71" s="31"/>
      <c r="P71" s="69"/>
    </row>
    <row r="72" spans="2:16" s="18" customFormat="1" ht="30">
      <c r="B72" s="143" t="s">
        <v>281</v>
      </c>
      <c r="C72" s="117" t="s">
        <v>1260</v>
      </c>
      <c r="D72" s="3">
        <f>SUM(D73:D75)</f>
        <v>3</v>
      </c>
      <c r="E72" s="98"/>
      <c r="F72" s="92"/>
      <c r="G72" s="92"/>
      <c r="H72" s="92"/>
      <c r="I72" s="92"/>
      <c r="J72" s="93"/>
      <c r="K72" s="92"/>
      <c r="L72" s="92"/>
      <c r="M72" s="92"/>
      <c r="N72" s="31"/>
      <c r="O72" s="31"/>
      <c r="P72" s="69"/>
    </row>
    <row r="73" spans="2:16" s="18" customFormat="1">
      <c r="B73" s="143" t="s">
        <v>282</v>
      </c>
      <c r="C73" s="117" t="s">
        <v>59</v>
      </c>
      <c r="D73" s="2">
        <f>D62+D69</f>
        <v>0</v>
      </c>
      <c r="E73" s="86"/>
      <c r="F73" s="97"/>
      <c r="G73" s="97"/>
      <c r="H73" s="97"/>
      <c r="I73" s="97"/>
      <c r="J73" s="87"/>
      <c r="K73" s="97"/>
      <c r="L73" s="97"/>
      <c r="M73" s="97"/>
      <c r="N73" s="31"/>
      <c r="O73" s="31"/>
      <c r="P73" s="69"/>
    </row>
    <row r="74" spans="2:16" s="18" customFormat="1">
      <c r="B74" s="143" t="s">
        <v>283</v>
      </c>
      <c r="C74" s="117" t="s">
        <v>60</v>
      </c>
      <c r="D74" s="2">
        <f>D63+D66+D70</f>
        <v>0</v>
      </c>
      <c r="E74" s="86"/>
      <c r="F74" s="97"/>
      <c r="G74" s="97"/>
      <c r="H74" s="97"/>
      <c r="I74" s="97"/>
      <c r="J74" s="87"/>
      <c r="K74" s="97"/>
      <c r="L74" s="97"/>
      <c r="M74" s="97"/>
      <c r="N74" s="31"/>
      <c r="O74" s="31"/>
      <c r="P74" s="69"/>
    </row>
    <row r="75" spans="2:16" s="18" customFormat="1">
      <c r="B75" s="143" t="s">
        <v>284</v>
      </c>
      <c r="C75" s="117" t="s">
        <v>61</v>
      </c>
      <c r="D75" s="2">
        <f>D64+D67+D71</f>
        <v>3</v>
      </c>
      <c r="E75" s="88"/>
      <c r="F75" s="89"/>
      <c r="G75" s="89"/>
      <c r="H75" s="89"/>
      <c r="I75" s="89"/>
      <c r="J75" s="90"/>
      <c r="K75" s="89"/>
      <c r="L75" s="89"/>
      <c r="M75" s="89"/>
      <c r="N75" s="31"/>
      <c r="O75" s="31"/>
      <c r="P75" s="69"/>
    </row>
    <row r="76" spans="2:16" s="24" customFormat="1" ht="30">
      <c r="B76" s="141" t="s">
        <v>432</v>
      </c>
      <c r="C76" s="142" t="s">
        <v>62</v>
      </c>
      <c r="D76" s="84"/>
      <c r="E76" s="85"/>
      <c r="F76" s="85"/>
      <c r="G76" s="85"/>
      <c r="H76" s="85"/>
      <c r="I76" s="85"/>
      <c r="J76" s="85"/>
      <c r="K76" s="85"/>
      <c r="L76" s="85"/>
      <c r="M76" s="85"/>
      <c r="N76" s="39"/>
      <c r="O76" s="30"/>
      <c r="P76" s="69"/>
    </row>
    <row r="77" spans="2:16" s="105" customFormat="1" ht="60">
      <c r="B77" s="143" t="s">
        <v>427</v>
      </c>
      <c r="C77" s="117" t="s">
        <v>1298</v>
      </c>
      <c r="D77" s="104">
        <f t="shared" ref="D77" si="15">SUM(E77:I77)+SUM(K77:M77)</f>
        <v>0</v>
      </c>
      <c r="E77" s="56"/>
      <c r="F77" s="56"/>
      <c r="G77" s="56"/>
      <c r="H77" s="56"/>
      <c r="I77" s="56"/>
      <c r="J77" s="56"/>
      <c r="K77" s="56"/>
      <c r="L77" s="56"/>
      <c r="M77" s="56"/>
      <c r="N77" s="66" t="str">
        <f>IF((D77&lt;=D$10)*AND(E77&lt;=E$10)*AND(F77&lt;=F$10)*AND(G77&lt;=G$10)*AND(H77&lt;=H$10)*AND(I77&lt;=I$10)*AND(K77&lt;=K$10)*AND(L77&lt;=L$10)*AND(M77&lt;=M$10)*AND(J77&lt;=J$10),"Выполнено","ПРОВЕРИТЬ (таких муниципальных образований не может быть больше их общего числа)")</f>
        <v>Выполнено</v>
      </c>
      <c r="O77" s="111" t="str">
        <f>IF(((D77=0)),"   ","Нужно заполнить пункт 10 текстовой части 
(муниципальные образования на федеральных территориях)")</f>
        <v xml:space="preserve">   </v>
      </c>
      <c r="P77" s="69"/>
    </row>
    <row r="78" spans="2:16" s="24" customFormat="1" ht="30">
      <c r="B78" s="143" t="s">
        <v>1000</v>
      </c>
      <c r="C78" s="117" t="s">
        <v>428</v>
      </c>
      <c r="D78" s="84"/>
      <c r="E78" s="85"/>
      <c r="F78" s="85"/>
      <c r="G78" s="85"/>
      <c r="H78" s="85"/>
      <c r="I78" s="85"/>
      <c r="J78" s="85"/>
      <c r="K78" s="85"/>
      <c r="L78" s="85"/>
      <c r="M78" s="85"/>
      <c r="N78" s="39"/>
      <c r="O78" s="30"/>
      <c r="P78" s="69"/>
    </row>
    <row r="79" spans="2:16" s="24" customFormat="1" ht="45">
      <c r="B79" s="144" t="s">
        <v>430</v>
      </c>
      <c r="C79" s="145" t="s">
        <v>1261</v>
      </c>
      <c r="D79" s="2">
        <f>I79</f>
        <v>0</v>
      </c>
      <c r="E79" s="49"/>
      <c r="F79" s="50"/>
      <c r="G79" s="51"/>
      <c r="H79" s="51"/>
      <c r="I79" s="38"/>
      <c r="J79" s="52"/>
      <c r="K79" s="49"/>
      <c r="L79" s="51"/>
      <c r="M79" s="41"/>
      <c r="N79" s="66" t="str">
        <f>IF((I79&lt;=I$10),"Выполнено","ПРОВЕРИТЬ (таких городских округов не может быть больше их общего числа)")</f>
        <v>Выполнено</v>
      </c>
      <c r="O79" s="80" t="str">
        <f>IF(((D79=0)),"   ","Нужно заполнить пункт 11 текстовой части (ЗАТО)")</f>
        <v xml:space="preserve">   </v>
      </c>
      <c r="P79" s="69"/>
    </row>
    <row r="80" spans="2:16" s="24" customFormat="1" ht="30">
      <c r="B80" s="144" t="s">
        <v>431</v>
      </c>
      <c r="C80" s="145" t="s">
        <v>1002</v>
      </c>
      <c r="D80" s="104">
        <f>I80+M80</f>
        <v>0</v>
      </c>
      <c r="E80" s="46"/>
      <c r="F80" s="47"/>
      <c r="G80" s="48"/>
      <c r="H80" s="48"/>
      <c r="I80" s="38"/>
      <c r="J80" s="53"/>
      <c r="K80" s="46"/>
      <c r="L80" s="48"/>
      <c r="M80" s="38"/>
      <c r="N80" s="66" t="str">
        <f>IF((D80&lt;=D$10),"Выполнено","ПРОВЕРИТЬ (таких муниципальных образований не может быть больше их общего числа)")</f>
        <v>Выполнено</v>
      </c>
      <c r="O80" s="80" t="str">
        <f>IF(((D80=0)),"   ","Нужно заполнить пункт 11 текстовой части 
(наукограды)")</f>
        <v xml:space="preserve">   </v>
      </c>
      <c r="P80" s="69"/>
    </row>
    <row r="81" spans="2:16" ht="45">
      <c r="B81" s="143" t="s">
        <v>1001</v>
      </c>
      <c r="C81" s="117" t="s">
        <v>429</v>
      </c>
      <c r="D81" s="25"/>
      <c r="E81" s="39"/>
      <c r="F81" s="39"/>
      <c r="G81" s="39"/>
      <c r="H81" s="39"/>
      <c r="I81" s="39"/>
      <c r="J81" s="39"/>
      <c r="K81" s="39"/>
      <c r="L81" s="39"/>
      <c r="M81" s="39"/>
      <c r="N81" s="30"/>
      <c r="O81" s="31"/>
      <c r="P81" s="69"/>
    </row>
    <row r="82" spans="2:16" s="24" customFormat="1" ht="30">
      <c r="B82" s="144" t="s">
        <v>1251</v>
      </c>
      <c r="C82" s="145" t="s">
        <v>995</v>
      </c>
      <c r="D82" s="104">
        <f t="shared" ref="D82:D89" si="16">SUM(E82:I82)+SUM(K82:M82)</f>
        <v>0</v>
      </c>
      <c r="E82" s="38"/>
      <c r="F82" s="40"/>
      <c r="G82" s="40"/>
      <c r="H82" s="38"/>
      <c r="I82" s="38"/>
      <c r="J82" s="38"/>
      <c r="K82" s="38"/>
      <c r="L82" s="40"/>
      <c r="M82" s="38"/>
      <c r="N82" s="66" t="str">
        <f t="shared" ref="N82:N89" si="17">IF((D82&lt;=D$10)*AND(E82&lt;=E$10)*AND(F82&lt;=F$10)*AND(G82&lt;=G$10)*AND(H82&lt;=H$10)*AND(I82&lt;=I$10)*AND(K82&lt;=K$10)*AND(L82&lt;=L$10)*AND(M82&lt;=M$10)*AND(J82&lt;=J$10),"Выполнено","ПРОВЕРИТЬ (таких муниципальных образований не может быть больше их общего числа)")</f>
        <v>Выполнено</v>
      </c>
      <c r="O82" s="80" t="str">
        <f>IF(((E82+H82+I82+K82+M82=0)),"   ","Нужно заполнить пункт 12 текстовой части 
(муниципальные образования на территориях с особыми правовыми режимами...)")</f>
        <v xml:space="preserve">   </v>
      </c>
      <c r="P82" s="69"/>
    </row>
    <row r="83" spans="2:16" ht="45">
      <c r="B83" s="144" t="s">
        <v>1252</v>
      </c>
      <c r="C83" s="145" t="s">
        <v>1263</v>
      </c>
      <c r="D83" s="104">
        <f t="shared" si="16"/>
        <v>0</v>
      </c>
      <c r="E83" s="38"/>
      <c r="F83" s="40"/>
      <c r="G83" s="40"/>
      <c r="H83" s="38"/>
      <c r="I83" s="38"/>
      <c r="J83" s="38"/>
      <c r="K83" s="38"/>
      <c r="L83" s="40"/>
      <c r="M83" s="38"/>
      <c r="N83" s="66" t="str">
        <f t="shared" si="17"/>
        <v>Выполнено</v>
      </c>
      <c r="O83" s="111" t="str">
        <f t="shared" ref="O83:O88" si="18">IF(((E83+H83+I83+K83+M83=0)),"   ","Нужно заполнить пункт 12 текстовой части 
(муниципальные образования на территориях с особыми правовыми режимами...)")</f>
        <v xml:space="preserve">   </v>
      </c>
      <c r="P83" s="71"/>
    </row>
    <row r="84" spans="2:16" ht="45">
      <c r="B84" s="144" t="s">
        <v>1253</v>
      </c>
      <c r="C84" s="145" t="s">
        <v>1262</v>
      </c>
      <c r="D84" s="104">
        <f t="shared" si="16"/>
        <v>0</v>
      </c>
      <c r="E84" s="38"/>
      <c r="F84" s="40"/>
      <c r="G84" s="40"/>
      <c r="H84" s="38"/>
      <c r="I84" s="38"/>
      <c r="J84" s="38"/>
      <c r="K84" s="38"/>
      <c r="L84" s="40"/>
      <c r="M84" s="38"/>
      <c r="N84" s="66" t="str">
        <f t="shared" si="17"/>
        <v>Выполнено</v>
      </c>
      <c r="O84" s="111" t="str">
        <f t="shared" si="18"/>
        <v xml:space="preserve">   </v>
      </c>
      <c r="P84" s="71"/>
    </row>
    <row r="85" spans="2:16" ht="60">
      <c r="B85" s="144" t="s">
        <v>1254</v>
      </c>
      <c r="C85" s="145" t="s">
        <v>996</v>
      </c>
      <c r="D85" s="104">
        <f t="shared" si="16"/>
        <v>0</v>
      </c>
      <c r="E85" s="38"/>
      <c r="F85" s="40"/>
      <c r="G85" s="40"/>
      <c r="H85" s="38"/>
      <c r="I85" s="38"/>
      <c r="J85" s="38"/>
      <c r="K85" s="38"/>
      <c r="L85" s="40"/>
      <c r="M85" s="38"/>
      <c r="N85" s="66" t="str">
        <f t="shared" si="17"/>
        <v>Выполнено</v>
      </c>
      <c r="O85" s="111" t="str">
        <f t="shared" si="18"/>
        <v xml:space="preserve">   </v>
      </c>
      <c r="P85" s="68"/>
    </row>
    <row r="86" spans="2:16" ht="30">
      <c r="B86" s="153" t="s">
        <v>1255</v>
      </c>
      <c r="C86" s="154" t="s">
        <v>997</v>
      </c>
      <c r="D86" s="104">
        <f t="shared" si="16"/>
        <v>0</v>
      </c>
      <c r="E86" s="56"/>
      <c r="F86" s="118"/>
      <c r="G86" s="118"/>
      <c r="H86" s="56"/>
      <c r="I86" s="56"/>
      <c r="J86" s="56"/>
      <c r="K86" s="56"/>
      <c r="L86" s="118"/>
      <c r="M86" s="56"/>
      <c r="N86" s="66" t="str">
        <f t="shared" si="17"/>
        <v>Выполнено</v>
      </c>
      <c r="O86" s="111" t="str">
        <f t="shared" si="18"/>
        <v xml:space="preserve">   </v>
      </c>
      <c r="P86" s="71"/>
    </row>
    <row r="87" spans="2:16" ht="30">
      <c r="B87" s="153" t="s">
        <v>1256</v>
      </c>
      <c r="C87" s="154" t="s">
        <v>998</v>
      </c>
      <c r="D87" s="104">
        <f t="shared" si="16"/>
        <v>0</v>
      </c>
      <c r="E87" s="56"/>
      <c r="F87" s="118"/>
      <c r="G87" s="118"/>
      <c r="H87" s="56"/>
      <c r="I87" s="56"/>
      <c r="J87" s="56"/>
      <c r="K87" s="56"/>
      <c r="L87" s="118"/>
      <c r="M87" s="56"/>
      <c r="N87" s="66" t="str">
        <f t="shared" si="17"/>
        <v>Выполнено</v>
      </c>
      <c r="O87" s="111" t="str">
        <f t="shared" si="18"/>
        <v xml:space="preserve">   </v>
      </c>
      <c r="P87" s="71"/>
    </row>
    <row r="88" spans="2:16" ht="45">
      <c r="B88" s="153" t="s">
        <v>1250</v>
      </c>
      <c r="C88" s="154" t="s">
        <v>999</v>
      </c>
      <c r="D88" s="104">
        <f t="shared" si="16"/>
        <v>0</v>
      </c>
      <c r="E88" s="56"/>
      <c r="F88" s="118"/>
      <c r="G88" s="118"/>
      <c r="H88" s="56"/>
      <c r="I88" s="56"/>
      <c r="J88" s="56"/>
      <c r="K88" s="56"/>
      <c r="L88" s="118"/>
      <c r="M88" s="56"/>
      <c r="N88" s="66" t="str">
        <f t="shared" si="17"/>
        <v>Выполнено</v>
      </c>
      <c r="O88" s="111" t="str">
        <f t="shared" si="18"/>
        <v xml:space="preserve">   </v>
      </c>
      <c r="P88" s="71"/>
    </row>
    <row r="89" spans="2:16" s="6" customFormat="1" ht="45">
      <c r="B89" s="153" t="s">
        <v>1249</v>
      </c>
      <c r="C89" s="154" t="s">
        <v>1003</v>
      </c>
      <c r="D89" s="104">
        <f t="shared" si="16"/>
        <v>0</v>
      </c>
      <c r="E89" s="56"/>
      <c r="F89" s="56"/>
      <c r="G89" s="56"/>
      <c r="H89" s="56"/>
      <c r="I89" s="56"/>
      <c r="J89" s="56"/>
      <c r="K89" s="56"/>
      <c r="L89" s="56"/>
      <c r="M89" s="56"/>
      <c r="N89" s="66" t="str">
        <f t="shared" si="17"/>
        <v>Выполнено</v>
      </c>
      <c r="O89" s="111" t="str">
        <f>IF(((D89=0)),"   ","Нужно заполнить пункт 13 текстовой части 
(муниципальные образования с монопрофильной экономикой)")</f>
        <v xml:space="preserve">   </v>
      </c>
      <c r="P89" s="72"/>
    </row>
    <row r="90" spans="2:16" s="20" customFormat="1" ht="60">
      <c r="B90" s="141" t="s">
        <v>464</v>
      </c>
      <c r="C90" s="142" t="s">
        <v>1200</v>
      </c>
      <c r="D90" s="2">
        <f>D91+D93+D114+D115+D116</f>
        <v>0</v>
      </c>
      <c r="E90" s="49"/>
      <c r="F90" s="50"/>
      <c r="G90" s="50"/>
      <c r="H90" s="50"/>
      <c r="I90" s="50"/>
      <c r="J90" s="51"/>
      <c r="K90" s="50"/>
      <c r="L90" s="50"/>
      <c r="M90" s="50"/>
      <c r="N90" s="111" t="str">
        <f>IF(NOT((D90-D91+D117+D119=0)*AND(D10&lt;&gt;D11)),"Выполнено","ПРОВЕРИТЬ (если количество муниципальных образований изменилось, значит, были преобразования или иные изменения")</f>
        <v>Выполнено</v>
      </c>
      <c r="O90" s="31"/>
      <c r="P90" s="71"/>
    </row>
    <row r="91" spans="2:16" s="20" customFormat="1" ht="30">
      <c r="B91" s="144" t="s">
        <v>320</v>
      </c>
      <c r="C91" s="145" t="s">
        <v>1264</v>
      </c>
      <c r="D91" s="27"/>
      <c r="E91" s="43"/>
      <c r="F91" s="54"/>
      <c r="G91" s="54"/>
      <c r="H91" s="54"/>
      <c r="I91" s="54"/>
      <c r="J91" s="45"/>
      <c r="K91" s="54"/>
      <c r="L91" s="54"/>
      <c r="M91" s="54"/>
      <c r="N91" s="33"/>
      <c r="O91" s="80" t="str">
        <f>IF(((D91=0)),"   ","Нужно заполнить пункт 14 текстовой части (изменения территориальной организации местного самоуправления...)")</f>
        <v xml:space="preserve">   </v>
      </c>
      <c r="P91" s="71"/>
    </row>
    <row r="92" spans="2:16" s="20" customFormat="1">
      <c r="B92" s="143" t="s">
        <v>435</v>
      </c>
      <c r="C92" s="117" t="s">
        <v>434</v>
      </c>
      <c r="D92" s="15"/>
      <c r="E92" s="43"/>
      <c r="F92" s="54"/>
      <c r="G92" s="54"/>
      <c r="H92" s="54"/>
      <c r="I92" s="54"/>
      <c r="J92" s="45"/>
      <c r="K92" s="54"/>
      <c r="L92" s="54"/>
      <c r="M92" s="54"/>
      <c r="N92" s="66" t="str">
        <f>IF((D92&lt;=D91),"Выполнено","ПРОВЕРИТЬ (значение этой строки не может быть больше значения предыдущей)")</f>
        <v>Выполнено</v>
      </c>
      <c r="O92" s="33"/>
      <c r="P92" s="71"/>
    </row>
    <row r="93" spans="2:16" s="20" customFormat="1" ht="30">
      <c r="B93" s="144" t="s">
        <v>321</v>
      </c>
      <c r="C93" s="145" t="s">
        <v>63</v>
      </c>
      <c r="D93" s="2">
        <f>D94+D101+D102+D111+D112+D113</f>
        <v>0</v>
      </c>
      <c r="E93" s="43"/>
      <c r="F93" s="54"/>
      <c r="G93" s="54"/>
      <c r="H93" s="54"/>
      <c r="I93" s="54"/>
      <c r="J93" s="45"/>
      <c r="K93" s="54"/>
      <c r="L93" s="54"/>
      <c r="M93" s="54"/>
      <c r="N93" s="33"/>
      <c r="O93" s="80" t="str">
        <f t="shared" ref="O93:O116" si="19">IF(((D93=0)),"   ","Нужно заполнить пункт 14 текстовой части (изменения территориальной организации местного самоуправления...)")</f>
        <v xml:space="preserve">   </v>
      </c>
      <c r="P93" s="71"/>
    </row>
    <row r="94" spans="2:16">
      <c r="B94" s="144" t="s">
        <v>322</v>
      </c>
      <c r="C94" s="145" t="s">
        <v>443</v>
      </c>
      <c r="D94" s="2">
        <f>SUM(D95:D100)</f>
        <v>0</v>
      </c>
      <c r="E94" s="46"/>
      <c r="F94" s="47"/>
      <c r="G94" s="47"/>
      <c r="H94" s="47"/>
      <c r="I94" s="47"/>
      <c r="J94" s="48"/>
      <c r="K94" s="47"/>
      <c r="L94" s="47"/>
      <c r="M94" s="47"/>
      <c r="N94" s="33"/>
      <c r="O94" s="80" t="str">
        <f t="shared" si="19"/>
        <v xml:space="preserve">   </v>
      </c>
      <c r="P94" s="73"/>
    </row>
    <row r="95" spans="2:16" ht="30">
      <c r="B95" s="144" t="s">
        <v>437</v>
      </c>
      <c r="C95" s="145" t="s">
        <v>444</v>
      </c>
      <c r="D95" s="104">
        <f t="shared" ref="D95" si="20">SUM(E95:I95)+SUM(K95:M95)</f>
        <v>0</v>
      </c>
      <c r="E95" s="38"/>
      <c r="F95" s="38"/>
      <c r="G95" s="38"/>
      <c r="H95" s="38"/>
      <c r="I95" s="38"/>
      <c r="J95" s="41"/>
      <c r="K95" s="38"/>
      <c r="L95" s="38"/>
      <c r="M95" s="38"/>
      <c r="N95" s="33"/>
      <c r="O95" s="80" t="str">
        <f t="shared" si="19"/>
        <v xml:space="preserve">   </v>
      </c>
      <c r="P95" s="73"/>
    </row>
    <row r="96" spans="2:16">
      <c r="B96" s="144" t="s">
        <v>438</v>
      </c>
      <c r="C96" s="145" t="s">
        <v>447</v>
      </c>
      <c r="D96" s="38"/>
      <c r="E96" s="49"/>
      <c r="F96" s="50"/>
      <c r="G96" s="50"/>
      <c r="H96" s="50"/>
      <c r="I96" s="50"/>
      <c r="J96" s="51"/>
      <c r="K96" s="50"/>
      <c r="L96" s="50"/>
      <c r="M96" s="50"/>
      <c r="N96" s="33"/>
      <c r="O96" s="80" t="str">
        <f t="shared" si="19"/>
        <v xml:space="preserve">   </v>
      </c>
      <c r="P96" s="73"/>
    </row>
    <row r="97" spans="2:16" ht="30">
      <c r="B97" s="144" t="s">
        <v>439</v>
      </c>
      <c r="C97" s="145" t="s">
        <v>557</v>
      </c>
      <c r="D97" s="38"/>
      <c r="E97" s="43"/>
      <c r="F97" s="54"/>
      <c r="G97" s="54"/>
      <c r="H97" s="54"/>
      <c r="I97" s="54"/>
      <c r="J97" s="45"/>
      <c r="K97" s="54"/>
      <c r="L97" s="54"/>
      <c r="M97" s="54"/>
      <c r="N97" s="33"/>
      <c r="O97" s="80" t="str">
        <f t="shared" si="19"/>
        <v xml:space="preserve">   </v>
      </c>
      <c r="P97" s="74"/>
    </row>
    <row r="98" spans="2:16" ht="45">
      <c r="B98" s="144" t="s">
        <v>440</v>
      </c>
      <c r="C98" s="145" t="s">
        <v>445</v>
      </c>
      <c r="D98" s="38"/>
      <c r="E98" s="43"/>
      <c r="F98" s="54"/>
      <c r="G98" s="54"/>
      <c r="H98" s="54"/>
      <c r="I98" s="54"/>
      <c r="J98" s="45"/>
      <c r="K98" s="54"/>
      <c r="L98" s="54"/>
      <c r="M98" s="54"/>
      <c r="N98" s="33"/>
      <c r="O98" s="80" t="str">
        <f t="shared" si="19"/>
        <v xml:space="preserve">   </v>
      </c>
    </row>
    <row r="99" spans="2:16" s="24" customFormat="1" ht="60">
      <c r="B99" s="144" t="s">
        <v>441</v>
      </c>
      <c r="C99" s="145" t="s">
        <v>446</v>
      </c>
      <c r="D99" s="38"/>
      <c r="E99" s="43"/>
      <c r="F99" s="54"/>
      <c r="G99" s="54"/>
      <c r="H99" s="54"/>
      <c r="I99" s="54"/>
      <c r="J99" s="45"/>
      <c r="K99" s="54"/>
      <c r="L99" s="54"/>
      <c r="M99" s="54"/>
      <c r="N99" s="33"/>
      <c r="O99" s="80" t="str">
        <f t="shared" si="19"/>
        <v xml:space="preserve">   </v>
      </c>
    </row>
    <row r="100" spans="2:16" s="24" customFormat="1" ht="45">
      <c r="B100" s="144" t="s">
        <v>442</v>
      </c>
      <c r="C100" s="145" t="s">
        <v>448</v>
      </c>
      <c r="D100" s="38"/>
      <c r="E100" s="43"/>
      <c r="F100" s="54"/>
      <c r="G100" s="54"/>
      <c r="H100" s="54"/>
      <c r="I100" s="54"/>
      <c r="J100" s="45"/>
      <c r="K100" s="54"/>
      <c r="L100" s="54"/>
      <c r="M100" s="54"/>
      <c r="N100" s="33"/>
      <c r="O100" s="80" t="str">
        <f t="shared" si="19"/>
        <v xml:space="preserve">   </v>
      </c>
    </row>
    <row r="101" spans="2:16" s="24" customFormat="1" ht="45">
      <c r="B101" s="144" t="s">
        <v>323</v>
      </c>
      <c r="C101" s="145" t="s">
        <v>1004</v>
      </c>
      <c r="D101" s="104">
        <f t="shared" ref="D101" si="21">SUM(E101:I101)+SUM(K101:M101)</f>
        <v>0</v>
      </c>
      <c r="E101" s="38"/>
      <c r="F101" s="38"/>
      <c r="G101" s="38"/>
      <c r="H101" s="38"/>
      <c r="I101" s="38"/>
      <c r="J101" s="41"/>
      <c r="K101" s="38"/>
      <c r="L101" s="38"/>
      <c r="M101" s="38"/>
      <c r="N101" s="33"/>
      <c r="O101" s="80" t="str">
        <f t="shared" si="19"/>
        <v xml:space="preserve">   </v>
      </c>
    </row>
    <row r="102" spans="2:16" s="24" customFormat="1" ht="30">
      <c r="B102" s="144" t="s">
        <v>324</v>
      </c>
      <c r="C102" s="145" t="s">
        <v>449</v>
      </c>
      <c r="D102" s="3">
        <f>SUM(D103:D110)</f>
        <v>0</v>
      </c>
      <c r="E102" s="49"/>
      <c r="F102" s="50"/>
      <c r="G102" s="50"/>
      <c r="H102" s="50"/>
      <c r="I102" s="50"/>
      <c r="J102" s="51"/>
      <c r="K102" s="50"/>
      <c r="L102" s="50"/>
      <c r="M102" s="50"/>
      <c r="N102" s="33"/>
      <c r="O102" s="80" t="str">
        <f t="shared" si="19"/>
        <v xml:space="preserve">   </v>
      </c>
      <c r="P102" s="73"/>
    </row>
    <row r="103" spans="2:16" s="24" customFormat="1">
      <c r="B103" s="144" t="s">
        <v>325</v>
      </c>
      <c r="C103" s="145" t="s">
        <v>451</v>
      </c>
      <c r="D103" s="27"/>
      <c r="E103" s="43"/>
      <c r="F103" s="54"/>
      <c r="G103" s="54"/>
      <c r="H103" s="54"/>
      <c r="I103" s="54"/>
      <c r="J103" s="45"/>
      <c r="K103" s="54"/>
      <c r="L103" s="54"/>
      <c r="M103" s="54"/>
      <c r="N103" s="33"/>
      <c r="O103" s="80" t="str">
        <f t="shared" si="19"/>
        <v xml:space="preserve">   </v>
      </c>
      <c r="P103" s="73"/>
    </row>
    <row r="104" spans="2:16" s="24" customFormat="1">
      <c r="B104" s="144" t="s">
        <v>326</v>
      </c>
      <c r="C104" s="145" t="s">
        <v>452</v>
      </c>
      <c r="D104" s="27"/>
      <c r="E104" s="43"/>
      <c r="F104" s="54"/>
      <c r="G104" s="54"/>
      <c r="H104" s="54"/>
      <c r="I104" s="54"/>
      <c r="J104" s="45"/>
      <c r="K104" s="54"/>
      <c r="L104" s="54"/>
      <c r="M104" s="54"/>
      <c r="N104" s="33"/>
      <c r="O104" s="80" t="str">
        <f t="shared" si="19"/>
        <v xml:space="preserve">   </v>
      </c>
      <c r="P104" s="73"/>
    </row>
    <row r="105" spans="2:16" ht="30">
      <c r="B105" s="144" t="s">
        <v>327</v>
      </c>
      <c r="C105" s="145" t="s">
        <v>67</v>
      </c>
      <c r="D105" s="27"/>
      <c r="E105" s="43"/>
      <c r="F105" s="54"/>
      <c r="G105" s="54"/>
      <c r="H105" s="54"/>
      <c r="I105" s="54"/>
      <c r="J105" s="45"/>
      <c r="K105" s="54"/>
      <c r="L105" s="54"/>
      <c r="M105" s="54"/>
      <c r="N105" s="33"/>
      <c r="O105" s="80" t="str">
        <f t="shared" si="19"/>
        <v xml:space="preserve">   </v>
      </c>
      <c r="P105" s="73"/>
    </row>
    <row r="106" spans="2:16" ht="30">
      <c r="B106" s="144" t="s">
        <v>328</v>
      </c>
      <c r="C106" s="145" t="s">
        <v>66</v>
      </c>
      <c r="D106" s="27"/>
      <c r="E106" s="43"/>
      <c r="F106" s="54"/>
      <c r="G106" s="54"/>
      <c r="H106" s="54"/>
      <c r="I106" s="54"/>
      <c r="J106" s="45"/>
      <c r="K106" s="54"/>
      <c r="L106" s="54"/>
      <c r="M106" s="54"/>
      <c r="N106" s="33"/>
      <c r="O106" s="80" t="str">
        <f t="shared" si="19"/>
        <v xml:space="preserve">   </v>
      </c>
      <c r="P106" s="73"/>
    </row>
    <row r="107" spans="2:16">
      <c r="B107" s="144" t="s">
        <v>450</v>
      </c>
      <c r="C107" s="145" t="s">
        <v>453</v>
      </c>
      <c r="D107" s="27"/>
      <c r="E107" s="43"/>
      <c r="F107" s="54"/>
      <c r="G107" s="54"/>
      <c r="H107" s="54"/>
      <c r="I107" s="54"/>
      <c r="J107" s="45"/>
      <c r="K107" s="54"/>
      <c r="L107" s="54"/>
      <c r="M107" s="54"/>
      <c r="N107" s="33"/>
      <c r="O107" s="80" t="str">
        <f t="shared" si="19"/>
        <v xml:space="preserve">   </v>
      </c>
      <c r="P107" s="73"/>
    </row>
    <row r="108" spans="2:16">
      <c r="B108" s="144" t="s">
        <v>455</v>
      </c>
      <c r="C108" s="145" t="s">
        <v>454</v>
      </c>
      <c r="D108" s="27"/>
      <c r="E108" s="43"/>
      <c r="F108" s="54"/>
      <c r="G108" s="54"/>
      <c r="H108" s="54"/>
      <c r="I108" s="54"/>
      <c r="J108" s="45"/>
      <c r="K108" s="54"/>
      <c r="L108" s="54"/>
      <c r="M108" s="54"/>
      <c r="N108" s="33"/>
      <c r="O108" s="80" t="str">
        <f t="shared" si="19"/>
        <v xml:space="preserve">   </v>
      </c>
      <c r="P108" s="73"/>
    </row>
    <row r="109" spans="2:16" s="24" customFormat="1" ht="30">
      <c r="B109" s="144" t="s">
        <v>456</v>
      </c>
      <c r="C109" s="145" t="s">
        <v>64</v>
      </c>
      <c r="D109" s="27"/>
      <c r="E109" s="43"/>
      <c r="F109" s="54"/>
      <c r="G109" s="54"/>
      <c r="H109" s="54"/>
      <c r="I109" s="54"/>
      <c r="J109" s="45"/>
      <c r="K109" s="54"/>
      <c r="L109" s="54"/>
      <c r="M109" s="54"/>
      <c r="N109" s="33"/>
      <c r="O109" s="80" t="str">
        <f t="shared" si="19"/>
        <v xml:space="preserve">   </v>
      </c>
      <c r="P109" s="73"/>
    </row>
    <row r="110" spans="2:16" s="24" customFormat="1" ht="30">
      <c r="B110" s="144" t="s">
        <v>457</v>
      </c>
      <c r="C110" s="145" t="s">
        <v>65</v>
      </c>
      <c r="D110" s="27"/>
      <c r="E110" s="43"/>
      <c r="F110" s="54"/>
      <c r="G110" s="54"/>
      <c r="H110" s="54"/>
      <c r="I110" s="54"/>
      <c r="J110" s="45"/>
      <c r="K110" s="54"/>
      <c r="L110" s="54"/>
      <c r="M110" s="54"/>
      <c r="N110" s="33"/>
      <c r="O110" s="80" t="str">
        <f t="shared" si="19"/>
        <v xml:space="preserve">   </v>
      </c>
      <c r="P110" s="73"/>
    </row>
    <row r="111" spans="2:16" ht="30">
      <c r="B111" s="144" t="s">
        <v>458</v>
      </c>
      <c r="C111" s="145" t="s">
        <v>459</v>
      </c>
      <c r="D111" s="27"/>
      <c r="E111" s="43"/>
      <c r="F111" s="54"/>
      <c r="G111" s="54"/>
      <c r="H111" s="54"/>
      <c r="I111" s="54"/>
      <c r="J111" s="45"/>
      <c r="K111" s="54"/>
      <c r="L111" s="54"/>
      <c r="M111" s="54"/>
      <c r="N111" s="33"/>
      <c r="O111" s="80" t="str">
        <f t="shared" si="19"/>
        <v xml:space="preserve">   </v>
      </c>
      <c r="P111" s="73"/>
    </row>
    <row r="112" spans="2:16" ht="30">
      <c r="B112" s="144" t="s">
        <v>436</v>
      </c>
      <c r="C112" s="145" t="s">
        <v>460</v>
      </c>
      <c r="D112" s="27"/>
      <c r="E112" s="43"/>
      <c r="F112" s="54"/>
      <c r="G112" s="54"/>
      <c r="H112" s="54"/>
      <c r="I112" s="54"/>
      <c r="J112" s="45"/>
      <c r="K112" s="54"/>
      <c r="L112" s="54"/>
      <c r="M112" s="54"/>
      <c r="N112" s="33"/>
      <c r="O112" s="80" t="str">
        <f t="shared" si="19"/>
        <v xml:space="preserve">   </v>
      </c>
      <c r="P112" s="73"/>
    </row>
    <row r="113" spans="2:16">
      <c r="B113" s="144" t="s">
        <v>461</v>
      </c>
      <c r="C113" s="145" t="s">
        <v>462</v>
      </c>
      <c r="D113" s="27"/>
      <c r="E113" s="43"/>
      <c r="F113" s="54"/>
      <c r="G113" s="54"/>
      <c r="H113" s="54"/>
      <c r="I113" s="54"/>
      <c r="J113" s="45"/>
      <c r="K113" s="54"/>
      <c r="L113" s="54"/>
      <c r="M113" s="54"/>
      <c r="N113" s="33"/>
      <c r="O113" s="80" t="str">
        <f t="shared" si="19"/>
        <v xml:space="preserve">   </v>
      </c>
      <c r="P113" s="73"/>
    </row>
    <row r="114" spans="2:16">
      <c r="B114" s="144" t="s">
        <v>329</v>
      </c>
      <c r="C114" s="145" t="s">
        <v>68</v>
      </c>
      <c r="D114" s="27"/>
      <c r="E114" s="43"/>
      <c r="F114" s="54"/>
      <c r="G114" s="54"/>
      <c r="H114" s="54"/>
      <c r="I114" s="54"/>
      <c r="J114" s="45"/>
      <c r="K114" s="54"/>
      <c r="L114" s="54"/>
      <c r="M114" s="54"/>
      <c r="N114" s="33"/>
      <c r="O114" s="80" t="str">
        <f t="shared" si="19"/>
        <v xml:space="preserve">   </v>
      </c>
      <c r="P114" s="73"/>
    </row>
    <row r="115" spans="2:16" s="24" customFormat="1" ht="30">
      <c r="B115" s="144" t="s">
        <v>330</v>
      </c>
      <c r="C115" s="145" t="s">
        <v>69</v>
      </c>
      <c r="D115" s="27"/>
      <c r="E115" s="43"/>
      <c r="F115" s="54"/>
      <c r="G115" s="54"/>
      <c r="H115" s="54"/>
      <c r="I115" s="54"/>
      <c r="J115" s="45"/>
      <c r="K115" s="54"/>
      <c r="L115" s="54"/>
      <c r="M115" s="54"/>
      <c r="N115" s="33"/>
      <c r="O115" s="80" t="str">
        <f t="shared" si="19"/>
        <v xml:space="preserve">   </v>
      </c>
      <c r="P115" s="73"/>
    </row>
    <row r="116" spans="2:16" s="24" customFormat="1" ht="45">
      <c r="B116" s="144" t="s">
        <v>331</v>
      </c>
      <c r="C116" s="145" t="s">
        <v>463</v>
      </c>
      <c r="D116" s="27"/>
      <c r="E116" s="43"/>
      <c r="F116" s="54"/>
      <c r="G116" s="54"/>
      <c r="H116" s="54"/>
      <c r="I116" s="54"/>
      <c r="J116" s="45"/>
      <c r="K116" s="54"/>
      <c r="L116" s="54"/>
      <c r="M116" s="54"/>
      <c r="N116" s="33"/>
      <c r="O116" s="80" t="str">
        <f t="shared" si="19"/>
        <v xml:space="preserve">   </v>
      </c>
      <c r="P116" s="73"/>
    </row>
    <row r="117" spans="2:16" ht="45">
      <c r="B117" s="144" t="s">
        <v>289</v>
      </c>
      <c r="C117" s="145" t="s">
        <v>466</v>
      </c>
      <c r="D117" s="27"/>
      <c r="E117" s="43"/>
      <c r="F117" s="54"/>
      <c r="G117" s="54"/>
      <c r="H117" s="54"/>
      <c r="I117" s="54"/>
      <c r="J117" s="45"/>
      <c r="K117" s="54"/>
      <c r="L117" s="54"/>
      <c r="M117" s="54"/>
      <c r="N117" s="33"/>
      <c r="O117" s="80" t="str">
        <f>IF(((D117=0)),"   ","Нужно заполнить пункт 15 текстовой части (отмена либо приостановление действия ранее произведенных изменений...)")</f>
        <v xml:space="preserve">   </v>
      </c>
      <c r="P117" s="73"/>
    </row>
    <row r="118" spans="2:16">
      <c r="B118" s="144" t="s">
        <v>290</v>
      </c>
      <c r="C118" s="145" t="s">
        <v>71</v>
      </c>
      <c r="D118" s="27"/>
      <c r="E118" s="46"/>
      <c r="F118" s="47"/>
      <c r="G118" s="47"/>
      <c r="H118" s="47"/>
      <c r="I118" s="47"/>
      <c r="J118" s="48"/>
      <c r="K118" s="47"/>
      <c r="L118" s="47"/>
      <c r="M118" s="47"/>
      <c r="N118" s="66" t="str">
        <f>IF((D118&lt;=D117),"Выполнено","ПРОВЕРИТЬ (эта подстрока не может быть больше основной строки)")</f>
        <v>Выполнено</v>
      </c>
      <c r="O118" s="80" t="str">
        <f>IF(((D118=0)),"   ","Нужно заполнить пункт 15 текстовой части (отмена либо приостановление действия ранее произведенных изменений...)")</f>
        <v xml:space="preserve">   </v>
      </c>
      <c r="P118" s="73"/>
    </row>
    <row r="119" spans="2:16" ht="30">
      <c r="B119" s="144" t="s">
        <v>468</v>
      </c>
      <c r="C119" s="145" t="s">
        <v>467</v>
      </c>
      <c r="D119" s="27"/>
      <c r="E119" s="43"/>
      <c r="F119" s="54"/>
      <c r="G119" s="54"/>
      <c r="H119" s="54"/>
      <c r="I119" s="54"/>
      <c r="J119" s="45"/>
      <c r="K119" s="54"/>
      <c r="L119" s="54"/>
      <c r="M119" s="54"/>
      <c r="N119" s="33"/>
      <c r="O119" s="80" t="str">
        <f>IF(((D119=0)),"   ","Нужно заполнить пункт 15 текстовой части (отмена либо приостановление действия ранее произведенных изменений...)")</f>
        <v xml:space="preserve">   </v>
      </c>
      <c r="P119" s="73"/>
    </row>
    <row r="120" spans="2:16" ht="75">
      <c r="B120" s="141" t="s">
        <v>465</v>
      </c>
      <c r="C120" s="142" t="s">
        <v>1265</v>
      </c>
      <c r="D120" s="84"/>
      <c r="E120" s="85"/>
      <c r="F120" s="85"/>
      <c r="G120" s="85"/>
      <c r="H120" s="85"/>
      <c r="I120" s="85"/>
      <c r="J120" s="85"/>
      <c r="K120" s="85"/>
      <c r="L120" s="85"/>
      <c r="M120" s="85"/>
      <c r="N120" s="39"/>
      <c r="O120" s="30"/>
      <c r="P120" s="73"/>
    </row>
    <row r="121" spans="2:16" ht="30">
      <c r="B121" s="144" t="s">
        <v>332</v>
      </c>
      <c r="C121" s="145" t="s">
        <v>70</v>
      </c>
      <c r="D121" s="104">
        <f t="shared" ref="D121:D132" si="22">SUM(E121:I121)+SUM(K121:M121)</f>
        <v>0</v>
      </c>
      <c r="E121" s="38"/>
      <c r="F121" s="38"/>
      <c r="G121" s="38"/>
      <c r="H121" s="38"/>
      <c r="I121" s="38"/>
      <c r="J121" s="40"/>
      <c r="K121" s="38"/>
      <c r="L121" s="38"/>
      <c r="M121" s="38"/>
      <c r="N121" s="111" t="str">
        <f>IF(NOT((D$90=0)*AND(D121&gt;0)),"Выполнено","ПРОВЕРИТЬ (наличие таких муниципальных образований указывает на проведенные территориальные преобразования")</f>
        <v>Выполнено</v>
      </c>
      <c r="O121" s="80" t="str">
        <f>IF(((D121=0)),"   ","Нужно заполнить пункт 14 текстовой части (изменения территориальной организации местного самоуправления...)")</f>
        <v xml:space="preserve">   </v>
      </c>
      <c r="P121" s="73"/>
    </row>
    <row r="122" spans="2:16" ht="30">
      <c r="B122" s="144" t="s">
        <v>333</v>
      </c>
      <c r="C122" s="145" t="s">
        <v>195</v>
      </c>
      <c r="D122" s="104">
        <f t="shared" si="22"/>
        <v>0</v>
      </c>
      <c r="E122" s="38"/>
      <c r="F122" s="38"/>
      <c r="G122" s="38"/>
      <c r="H122" s="38"/>
      <c r="I122" s="38"/>
      <c r="J122" s="40"/>
      <c r="K122" s="38"/>
      <c r="L122" s="38"/>
      <c r="M122" s="38"/>
      <c r="N122" s="111" t="str">
        <f>IF(NOT((D$90=0)*AND(D122&gt;0)),"Выполнено","ПРОВЕРИТЬ (наличие таких муниципальных образований указывает на проведенные территориальные преобразования")</f>
        <v>Выполнено</v>
      </c>
      <c r="O122" s="80" t="str">
        <f>IF(((D122=0)),"   ","Нужно заполнить пункт 14 текстовой части (изменения территориальной организации местного самоуправления...)")</f>
        <v xml:space="preserve">   </v>
      </c>
      <c r="P122" s="71"/>
    </row>
    <row r="123" spans="2:16" s="24" customFormat="1" ht="30">
      <c r="B123" s="144" t="s">
        <v>334</v>
      </c>
      <c r="C123" s="145" t="s">
        <v>288</v>
      </c>
      <c r="D123" s="104">
        <f t="shared" si="22"/>
        <v>0</v>
      </c>
      <c r="E123" s="38"/>
      <c r="F123" s="38"/>
      <c r="G123" s="38"/>
      <c r="H123" s="38"/>
      <c r="I123" s="38"/>
      <c r="J123" s="40"/>
      <c r="K123" s="38"/>
      <c r="L123" s="38"/>
      <c r="M123" s="38"/>
      <c r="N123" s="111" t="str">
        <f>IF(NOT((D$90=0)*AND(D123&gt;0)),"Выполнено","ПРОВЕРИТЬ (наличие таких муниципальных образований указывает на проведенные территориальные преобразования")</f>
        <v>Выполнено</v>
      </c>
      <c r="O123" s="80" t="str">
        <f>IF(((D123=0)),"   ","Нужно заполнить пункт 14 текстовой части (изменения территориальной организации местного самоуправления...)")</f>
        <v xml:space="preserve">   </v>
      </c>
      <c r="P123" s="71"/>
    </row>
    <row r="124" spans="2:16" ht="45">
      <c r="B124" s="144" t="s">
        <v>335</v>
      </c>
      <c r="C124" s="145" t="s">
        <v>214</v>
      </c>
      <c r="D124" s="104">
        <f t="shared" si="22"/>
        <v>0</v>
      </c>
      <c r="E124" s="38"/>
      <c r="F124" s="38"/>
      <c r="G124" s="38"/>
      <c r="H124" s="38"/>
      <c r="I124" s="38"/>
      <c r="J124" s="40"/>
      <c r="K124" s="38"/>
      <c r="L124" s="38"/>
      <c r="M124" s="38"/>
      <c r="N124" s="111" t="str">
        <f>IF(NOT((D$90=0)*AND(D124&gt;0)),"Выполнено","ПРОВЕРИТЬ (наличие таких муниципальных образований указывает на проведенные территориальные преобразования")</f>
        <v>Выполнено</v>
      </c>
      <c r="O124" s="80" t="str">
        <f>IF(((D124=0)),"   ","Нужно заполнить пункт 14 текстовой части (изменения территориальной организации местного самоуправления...)")</f>
        <v xml:space="preserve">   </v>
      </c>
      <c r="P124" s="73"/>
    </row>
    <row r="125" spans="2:16" ht="30">
      <c r="B125" s="141" t="s">
        <v>433</v>
      </c>
      <c r="C125" s="142" t="s">
        <v>368</v>
      </c>
      <c r="D125" s="84"/>
      <c r="E125" s="85"/>
      <c r="F125" s="85"/>
      <c r="G125" s="85"/>
      <c r="H125" s="85"/>
      <c r="I125" s="85"/>
      <c r="J125" s="85"/>
      <c r="K125" s="85"/>
      <c r="L125" s="85"/>
      <c r="M125" s="85"/>
      <c r="N125" s="39"/>
      <c r="O125" s="106"/>
      <c r="P125" s="73"/>
    </row>
    <row r="126" spans="2:16" ht="45">
      <c r="B126" s="143" t="s">
        <v>642</v>
      </c>
      <c r="C126" s="117" t="s">
        <v>1267</v>
      </c>
      <c r="D126" s="104">
        <f t="shared" si="22"/>
        <v>1</v>
      </c>
      <c r="E126" s="2">
        <f t="shared" ref="E126:M126" si="23">E$10-E127</f>
        <v>0</v>
      </c>
      <c r="F126" s="2">
        <f t="shared" si="23"/>
        <v>0</v>
      </c>
      <c r="G126" s="2">
        <f t="shared" si="23"/>
        <v>1</v>
      </c>
      <c r="H126" s="2">
        <f t="shared" si="23"/>
        <v>0</v>
      </c>
      <c r="I126" s="2">
        <f t="shared" si="23"/>
        <v>0</v>
      </c>
      <c r="J126" s="2">
        <f>J$10-J127</f>
        <v>0</v>
      </c>
      <c r="K126" s="2">
        <f t="shared" si="23"/>
        <v>0</v>
      </c>
      <c r="L126" s="2">
        <f t="shared" si="23"/>
        <v>0</v>
      </c>
      <c r="M126" s="2">
        <f t="shared" si="23"/>
        <v>0</v>
      </c>
      <c r="N126" s="33"/>
      <c r="O126" s="33"/>
      <c r="P126" s="73"/>
    </row>
    <row r="127" spans="2:16" ht="45">
      <c r="B127" s="144" t="s">
        <v>643</v>
      </c>
      <c r="C127" s="145" t="s">
        <v>1266</v>
      </c>
      <c r="D127" s="104">
        <f t="shared" si="22"/>
        <v>0</v>
      </c>
      <c r="E127" s="38"/>
      <c r="F127" s="38"/>
      <c r="G127" s="38"/>
      <c r="H127" s="38"/>
      <c r="I127" s="38"/>
      <c r="J127" s="40"/>
      <c r="K127" s="38"/>
      <c r="L127" s="38"/>
      <c r="M127" s="38"/>
      <c r="N127" s="66" t="str">
        <f>IF((D127&lt;=D$10)*AND(E127&lt;=E$10)*AND(F127&lt;=F$10)*AND(G127&lt;=G$10)*AND(H127&lt;=H$10)*AND(I127&lt;=I$10)*AND(K127&lt;=K$10)*AND(L127&lt;=L$10)*AND(M127&lt;=M$10)*AND(J127&lt;=J$10),"Выполнено","ПРОВЕРИТЬ (таких муниципальных образований не может быть больше их общего числа)")</f>
        <v>Выполнено</v>
      </c>
      <c r="O127" s="80" t="str">
        <f>IF(((D127=0)),"   ","Нужно заполнить пункт 16 текстовой части (муниципальные образования, не имеющие действующих уставов...)")</f>
        <v xml:space="preserve">   </v>
      </c>
      <c r="P127" s="73"/>
    </row>
    <row r="128" spans="2:16" ht="30">
      <c r="B128" s="146" t="s">
        <v>644</v>
      </c>
      <c r="C128" s="117" t="s">
        <v>181</v>
      </c>
      <c r="D128" s="84"/>
      <c r="E128" s="85"/>
      <c r="F128" s="85"/>
      <c r="G128" s="85"/>
      <c r="H128" s="85"/>
      <c r="I128" s="85"/>
      <c r="J128" s="85"/>
      <c r="K128" s="85"/>
      <c r="L128" s="85"/>
      <c r="M128" s="85"/>
      <c r="N128" s="39"/>
      <c r="O128" s="106"/>
      <c r="P128" s="74"/>
    </row>
    <row r="129" spans="2:16">
      <c r="B129" s="146" t="s">
        <v>645</v>
      </c>
      <c r="C129" s="117" t="s">
        <v>208</v>
      </c>
      <c r="D129" s="104">
        <f>SUM(F129:I129)+K129+M129</f>
        <v>1</v>
      </c>
      <c r="E129" s="61"/>
      <c r="F129" s="42"/>
      <c r="G129" s="42">
        <v>1</v>
      </c>
      <c r="H129" s="42"/>
      <c r="I129" s="42"/>
      <c r="J129" s="42"/>
      <c r="K129" s="42"/>
      <c r="L129" s="61"/>
      <c r="M129" s="42"/>
      <c r="N129" s="66" t="str">
        <f>IF((D129&lt;=D$10)*AND(E129=0)*AND(F129&lt;=F$10)*AND(G129&lt;=G$10)*AND(H129&lt;=H$10)*AND(I129&lt;=I$10)*AND(K129&lt;=K$10)*AND(L129=0)*AND(M129&lt;=M$10)*AND(J129&lt;=J$10),"Выполнено","ПРОВЕРИТЬ (муниципальных образований с генпланами не может быть больше их общего числа; в муниципальных и внутригородских районах генпланы вообще не принимаются)")</f>
        <v>Выполнено</v>
      </c>
      <c r="O129" s="33"/>
      <c r="P129" s="73"/>
    </row>
    <row r="130" spans="2:16">
      <c r="B130" s="146" t="s">
        <v>646</v>
      </c>
      <c r="C130" s="117" t="s">
        <v>209</v>
      </c>
      <c r="D130" s="104">
        <f>E130+H130+I130+M130</f>
        <v>0</v>
      </c>
      <c r="E130" s="42"/>
      <c r="F130" s="61"/>
      <c r="G130" s="61"/>
      <c r="H130" s="42"/>
      <c r="I130" s="42"/>
      <c r="J130" s="42"/>
      <c r="K130" s="61"/>
      <c r="L130" s="61"/>
      <c r="M130" s="42"/>
      <c r="N130" s="66" t="str">
        <f>IF((D130&lt;=D$10)*AND(E130&lt;=E$10)*AND(F130=0)*AND(G130=0)*AND(H130&lt;=H$10)*AND(I130&lt;=I$10)*AND(K130=0)*AND(L130=0)*AND(M130&lt;=M$10)*AND(J130&lt;=J$10),"Выполнено","ПРОВЕРИТЬ (муниципальных образований со схемами терпланирования не может быть больше их числа, в поселениях они не принимаются вообще, в муниципальных и городских округах могут быть крайне редко как следствие преобразований)")</f>
        <v>Выполнено</v>
      </c>
      <c r="O130" s="80" t="str">
        <f>IF(((H130+I130=0)),"   ","Подсказка - у городских и муниципальных округов обычно не бывает СТП, исключение - если она принималась ранее районом и осталась при преобразовании)")</f>
        <v xml:space="preserve">   </v>
      </c>
      <c r="P130" s="73"/>
    </row>
    <row r="131" spans="2:16">
      <c r="B131" s="146" t="s">
        <v>647</v>
      </c>
      <c r="C131" s="117" t="s">
        <v>179</v>
      </c>
      <c r="D131" s="104">
        <f t="shared" si="22"/>
        <v>1</v>
      </c>
      <c r="E131" s="42"/>
      <c r="F131" s="42"/>
      <c r="G131" s="42">
        <v>1</v>
      </c>
      <c r="H131" s="42"/>
      <c r="I131" s="42"/>
      <c r="J131" s="40"/>
      <c r="K131" s="42"/>
      <c r="L131" s="40"/>
      <c r="M131" s="40"/>
      <c r="N131" s="66" t="str">
        <f>IF((D131&lt;=D$10)*AND(E131&lt;=E$10)*AND(F131&lt;=F$10)*AND(G131&lt;=G$10)*AND(H131&lt;=H$10)*AND(I131&lt;=I$10)*AND(K131&lt;=K$10)*AND(L131&lt;=L$10)*AND(M131&lt;=M$10)*AND(J131&lt;=J$10),"Выполнено","ПРОВЕРИТЬ (таких муниципальных образований не может быть больше их общего числа)")</f>
        <v>Выполнено</v>
      </c>
      <c r="O131" s="80" t="str">
        <f>IF(((E131+L131=0)),"   ","Подсказка - правила землепользования и застройки обычно (за редкими исключениями) не принимаются в муниципальных и внутригородских районах, возможна ошибка)")</f>
        <v xml:space="preserve">   </v>
      </c>
      <c r="P131" s="73"/>
    </row>
    <row r="132" spans="2:16">
      <c r="B132" s="146" t="s">
        <v>648</v>
      </c>
      <c r="C132" s="117" t="s">
        <v>180</v>
      </c>
      <c r="D132" s="104">
        <f t="shared" si="22"/>
        <v>1</v>
      </c>
      <c r="E132" s="42"/>
      <c r="F132" s="42"/>
      <c r="G132" s="42">
        <v>1</v>
      </c>
      <c r="H132" s="42"/>
      <c r="I132" s="42"/>
      <c r="J132" s="40"/>
      <c r="K132" s="42"/>
      <c r="L132" s="40"/>
      <c r="M132" s="40"/>
      <c r="N132" s="66" t="str">
        <f>IF((D132&lt;=D$10)*AND(E132&lt;=E$10)*AND(F132&lt;=F$10)*AND(G132&lt;=G$10)*AND(H132&lt;=H$10)*AND(I132&lt;=I$10)*AND(K132&lt;=K$10)*AND(L132&lt;=L$10)*AND(M132&lt;=M$10)*AND(J132&lt;=J$10),"Выполнено","ПРОВЕРИТЬ (таких муниципальных образований не может быть больше их общего числа)")</f>
        <v>Выполнено</v>
      </c>
      <c r="O132" s="80" t="str">
        <f>IF(((E132=0)),"   ","Подсказка - правила благоустройства обычно (за редкими исключениями) не принимаются в муниципальных районах, возможна ошибка)")</f>
        <v xml:space="preserve">   </v>
      </c>
      <c r="P132" s="73"/>
    </row>
    <row r="133" spans="2:16" ht="60">
      <c r="B133" s="146" t="s">
        <v>649</v>
      </c>
      <c r="C133" s="117" t="s">
        <v>1291</v>
      </c>
      <c r="D133" s="104">
        <f>G133</f>
        <v>0</v>
      </c>
      <c r="E133" s="39"/>
      <c r="F133" s="39"/>
      <c r="G133" s="42"/>
      <c r="H133" s="39"/>
      <c r="I133" s="39"/>
      <c r="J133" s="58"/>
      <c r="K133" s="39"/>
      <c r="L133" s="39"/>
      <c r="M133" s="39"/>
      <c r="N133" s="66" t="str">
        <f>IF((G133&lt;=G$10),"Выполнено","ПРОВЕРИТЬ (таких сельских поселений не может быть больше их общего числа)")</f>
        <v>Выполнено</v>
      </c>
      <c r="O133" s="33"/>
      <c r="P133" s="73"/>
    </row>
    <row r="134" spans="2:16" s="105" customFormat="1" ht="45">
      <c r="B134" s="146" t="s">
        <v>1006</v>
      </c>
      <c r="C134" s="117" t="s">
        <v>621</v>
      </c>
      <c r="D134" s="104">
        <f t="shared" ref="D134" si="24">SUM(E134:I134)+SUM(K134:M134)</f>
        <v>0</v>
      </c>
      <c r="E134" s="42"/>
      <c r="F134" s="42"/>
      <c r="G134" s="42"/>
      <c r="H134" s="42"/>
      <c r="I134" s="42"/>
      <c r="J134" s="40"/>
      <c r="K134" s="42"/>
      <c r="L134" s="40"/>
      <c r="M134" s="40"/>
      <c r="N134" s="119" t="s">
        <v>1011</v>
      </c>
      <c r="O134" s="107"/>
      <c r="P134" s="109"/>
    </row>
    <row r="135" spans="2:16" s="105" customFormat="1" ht="45">
      <c r="B135" s="146" t="s">
        <v>1007</v>
      </c>
      <c r="C135" s="117" t="s">
        <v>1019</v>
      </c>
      <c r="D135" s="84"/>
      <c r="E135" s="85"/>
      <c r="F135" s="85"/>
      <c r="G135" s="85"/>
      <c r="H135" s="85"/>
      <c r="I135" s="85"/>
      <c r="J135" s="85"/>
      <c r="K135" s="85"/>
      <c r="L135" s="85"/>
      <c r="M135" s="85"/>
      <c r="N135" s="39"/>
      <c r="O135" s="106"/>
      <c r="P135" s="109"/>
    </row>
    <row r="136" spans="2:16" s="105" customFormat="1" ht="60">
      <c r="B136" s="146" t="s">
        <v>1012</v>
      </c>
      <c r="C136" s="117" t="s">
        <v>1292</v>
      </c>
      <c r="D136" s="84"/>
      <c r="E136" s="85"/>
      <c r="F136" s="85"/>
      <c r="G136" s="85"/>
      <c r="H136" s="85"/>
      <c r="I136" s="85"/>
      <c r="J136" s="85"/>
      <c r="K136" s="85"/>
      <c r="L136" s="85"/>
      <c r="M136" s="85"/>
      <c r="N136" s="39"/>
      <c r="O136" s="106"/>
      <c r="P136" s="109"/>
    </row>
    <row r="137" spans="2:16" s="105" customFormat="1" ht="60">
      <c r="B137" s="146" t="s">
        <v>1013</v>
      </c>
      <c r="C137" s="117" t="s">
        <v>1268</v>
      </c>
      <c r="D137" s="104">
        <f t="shared" ref="D137:D181" si="25">SUM(E137:I137)+SUM(K137:M137)</f>
        <v>0</v>
      </c>
      <c r="E137" s="42"/>
      <c r="F137" s="42"/>
      <c r="G137" s="42"/>
      <c r="H137" s="42"/>
      <c r="I137" s="42"/>
      <c r="J137" s="40"/>
      <c r="K137" s="42"/>
      <c r="L137" s="42"/>
      <c r="M137" s="42"/>
      <c r="N137" s="66" t="str">
        <f>IF((D137&lt;=D$132)*AND(E137&lt;=E$132)*AND(F137&lt;=F$132)*AND(G137&lt;=G$132)*AND(H137&lt;=H$132)*AND(I137&lt;=I$132)*AND(K137&lt;=K$132)*AND(L137&lt;=L$132)*AND(M137&lt;=M$132)*AND(J137&lt;=J$132),"Выполнено","ПРОВЕРИТЬ (таких муниципальных образований не может быть больше чем м.о. с правилами благоустройства)")</f>
        <v>Выполнено</v>
      </c>
      <c r="O137" s="107"/>
      <c r="P137" s="109"/>
    </row>
    <row r="138" spans="2:16" s="105" customFormat="1" ht="60">
      <c r="B138" s="146" t="s">
        <v>1014</v>
      </c>
      <c r="C138" s="117" t="s">
        <v>1017</v>
      </c>
      <c r="D138" s="104">
        <f t="shared" si="25"/>
        <v>0</v>
      </c>
      <c r="E138" s="42"/>
      <c r="F138" s="42"/>
      <c r="G138" s="42"/>
      <c r="H138" s="42"/>
      <c r="I138" s="42"/>
      <c r="J138" s="40"/>
      <c r="K138" s="42"/>
      <c r="L138" s="42"/>
      <c r="M138" s="42"/>
      <c r="N138" s="66" t="str">
        <f t="shared" ref="N138:N139" si="26">IF((D138&lt;=D$132)*AND(E138&lt;=E$132)*AND(F138&lt;=F$132)*AND(G138&lt;=G$132)*AND(H138&lt;=H$132)*AND(I138&lt;=I$132)*AND(K138&lt;=K$132)*AND(L138&lt;=L$132)*AND(M138&lt;=M$132)*AND(J138&lt;=J$132),"Выполнено","ПРОВЕРИТЬ (таких муниципальных образований не может быть больше чем м.о. с правилами благоустройства)")</f>
        <v>Выполнено</v>
      </c>
      <c r="O138" s="107"/>
      <c r="P138" s="109"/>
    </row>
    <row r="139" spans="2:16" s="105" customFormat="1" ht="75">
      <c r="B139" s="146" t="s">
        <v>1015</v>
      </c>
      <c r="C139" s="117" t="s">
        <v>1269</v>
      </c>
      <c r="D139" s="104">
        <f t="shared" si="25"/>
        <v>0</v>
      </c>
      <c r="E139" s="42"/>
      <c r="F139" s="42"/>
      <c r="G139" s="42"/>
      <c r="H139" s="42"/>
      <c r="I139" s="42"/>
      <c r="J139" s="40"/>
      <c r="K139" s="42"/>
      <c r="L139" s="42"/>
      <c r="M139" s="42"/>
      <c r="N139" s="66" t="str">
        <f t="shared" si="26"/>
        <v>Выполнено</v>
      </c>
      <c r="O139" s="107"/>
      <c r="P139" s="109"/>
    </row>
    <row r="140" spans="2:16" s="105" customFormat="1" ht="45">
      <c r="B140" s="146" t="s">
        <v>1016</v>
      </c>
      <c r="C140" s="117" t="s">
        <v>1018</v>
      </c>
      <c r="D140" s="104">
        <f t="shared" si="25"/>
        <v>0</v>
      </c>
      <c r="E140" s="42"/>
      <c r="F140" s="42"/>
      <c r="G140" s="42"/>
      <c r="H140" s="42"/>
      <c r="I140" s="42"/>
      <c r="J140" s="40"/>
      <c r="K140" s="42"/>
      <c r="L140" s="42"/>
      <c r="M140" s="42"/>
      <c r="N140" s="107"/>
      <c r="O140" s="107"/>
      <c r="P140" s="109"/>
    </row>
    <row r="141" spans="2:16" s="105" customFormat="1" ht="75">
      <c r="B141" s="144" t="s">
        <v>1005</v>
      </c>
      <c r="C141" s="145" t="s">
        <v>1010</v>
      </c>
      <c r="D141" s="104">
        <f t="shared" si="25"/>
        <v>0</v>
      </c>
      <c r="E141" s="38"/>
      <c r="F141" s="40"/>
      <c r="G141" s="40"/>
      <c r="H141" s="38"/>
      <c r="I141" s="38"/>
      <c r="J141" s="38"/>
      <c r="K141" s="38"/>
      <c r="L141" s="40"/>
      <c r="M141" s="40"/>
      <c r="N141" s="107"/>
      <c r="O141" s="107"/>
      <c r="P141" s="109"/>
    </row>
    <row r="142" spans="2:16" s="105" customFormat="1" ht="60">
      <c r="B142" s="144" t="s">
        <v>1008</v>
      </c>
      <c r="C142" s="145" t="s">
        <v>1009</v>
      </c>
      <c r="D142" s="104">
        <f t="shared" si="25"/>
        <v>0</v>
      </c>
      <c r="E142" s="38"/>
      <c r="F142" s="40"/>
      <c r="G142" s="40"/>
      <c r="H142" s="38"/>
      <c r="I142" s="38"/>
      <c r="J142" s="38"/>
      <c r="K142" s="38"/>
      <c r="L142" s="40"/>
      <c r="M142" s="40"/>
      <c r="N142" s="107"/>
      <c r="O142" s="107"/>
      <c r="P142" s="109"/>
    </row>
    <row r="143" spans="2:16">
      <c r="B143" s="141" t="s">
        <v>291</v>
      </c>
      <c r="C143" s="142" t="s">
        <v>316</v>
      </c>
      <c r="D143" s="84"/>
      <c r="E143" s="85"/>
      <c r="F143" s="85"/>
      <c r="G143" s="85"/>
      <c r="H143" s="85"/>
      <c r="I143" s="85"/>
      <c r="J143" s="85"/>
      <c r="K143" s="85"/>
      <c r="L143" s="85"/>
      <c r="M143" s="85"/>
      <c r="N143" s="39"/>
      <c r="O143" s="106"/>
      <c r="P143" s="73"/>
    </row>
    <row r="144" spans="2:16" ht="30">
      <c r="B144" s="143" t="s">
        <v>4</v>
      </c>
      <c r="C144" s="117" t="s">
        <v>1026</v>
      </c>
      <c r="D144" s="104">
        <f t="shared" si="25"/>
        <v>1</v>
      </c>
      <c r="E144" s="40"/>
      <c r="F144" s="40"/>
      <c r="G144" s="40">
        <v>1</v>
      </c>
      <c r="H144" s="40"/>
      <c r="I144" s="40"/>
      <c r="J144" s="40"/>
      <c r="K144" s="40"/>
      <c r="L144" s="40"/>
      <c r="M144" s="40"/>
      <c r="N144" s="36"/>
      <c r="O144" s="80" t="str">
        <f>IF(((D144=D11)*AND(E144=E11)*AND(F144=F11)*AND(G144=G11)*AND(H144=H11)*AND(I144=I11)*AND(K144=K11)*AND(L144=L11)*AND(M144=M11)*AND(J144=J11)),"   ","Подсказка - эти числа чаще всего совпадают с количеством муниципалитетов по видам на начало года, но могут и отличаться от них ввиду недавних изменений территориальной организации МСУ")</f>
        <v xml:space="preserve">   </v>
      </c>
      <c r="P144" s="73"/>
    </row>
    <row r="145" spans="2:16" ht="30">
      <c r="B145" s="143" t="s">
        <v>650</v>
      </c>
      <c r="C145" s="117" t="s">
        <v>1020</v>
      </c>
      <c r="D145" s="104">
        <f t="shared" si="25"/>
        <v>1</v>
      </c>
      <c r="E145" s="38"/>
      <c r="F145" s="38"/>
      <c r="G145" s="38">
        <v>1</v>
      </c>
      <c r="H145" s="38"/>
      <c r="I145" s="38"/>
      <c r="J145" s="38"/>
      <c r="K145" s="38"/>
      <c r="L145" s="38"/>
      <c r="M145" s="38"/>
      <c r="N145" s="66" t="str">
        <f>IF((D145&lt;=D144)*AND(E145&lt;=E144)*AND(F145&lt;=F144)*AND(G145&lt;=G144)*AND(H145&lt;=H144)*AND(I145&lt;=I144)*AND(K145&lt;=K144)*AND(L145&lt;=L144)*AND(M145&lt;=M144)*AND(J145&lt;=J144),"Выполнено","ПРОВЕРИТЬ (бюджеты принимаются в муниципальных образованиях, являющимися участниками бюджетного процесса в соответствующем году)
)")</f>
        <v>Выполнено</v>
      </c>
      <c r="O145" s="80" t="str">
        <f>IF(((D145=D144)*AND(E145=E144)*AND(F145=F144)*AND(G145=G144)*AND(H145=H144)*AND(I145=I144)*AND(K145=K144)*AND(L145=L144)*AND(M145=M144)*AND(J145=J144)),"   ","Нужно заполнить пункт 18 текстовой части - муниципалитеты, не имеющие принятых бюджетов на очередной финансовый год.")</f>
        <v xml:space="preserve">   </v>
      </c>
      <c r="P145" s="73"/>
    </row>
    <row r="146" spans="2:16" ht="30">
      <c r="B146" s="143" t="s">
        <v>292</v>
      </c>
      <c r="C146" s="117" t="s">
        <v>1021</v>
      </c>
      <c r="D146" s="104">
        <f t="shared" si="25"/>
        <v>1</v>
      </c>
      <c r="E146" s="41">
        <f t="shared" ref="E146:M146" si="27">SUM(E147:E152)</f>
        <v>0</v>
      </c>
      <c r="F146" s="41">
        <f t="shared" si="27"/>
        <v>0</v>
      </c>
      <c r="G146" s="41">
        <f t="shared" si="27"/>
        <v>1</v>
      </c>
      <c r="H146" s="41">
        <f t="shared" si="27"/>
        <v>0</v>
      </c>
      <c r="I146" s="41">
        <f t="shared" si="27"/>
        <v>0</v>
      </c>
      <c r="J146" s="41">
        <f t="shared" si="27"/>
        <v>0</v>
      </c>
      <c r="K146" s="41">
        <f t="shared" si="27"/>
        <v>0</v>
      </c>
      <c r="L146" s="41">
        <f t="shared" si="27"/>
        <v>0</v>
      </c>
      <c r="M146" s="41">
        <f t="shared" si="27"/>
        <v>0</v>
      </c>
      <c r="N146" s="66" t="str">
        <f>IF((D146=D145)*AND(E146=E145)*AND(F146=F145)*AND(G146=G145)*AND(H146=H145)*AND(I146=I145)*AND(K146=K145)*AND(L146=L145)*AND(M146=M145)*AND(J146=J145),"Выполнено","ПРОВЕРИТЬ (этот показатель считается по принятым местным бюджетам)")</f>
        <v>Выполнено</v>
      </c>
      <c r="O146" s="37"/>
      <c r="P146" s="73"/>
    </row>
    <row r="147" spans="2:16">
      <c r="B147" s="144" t="s">
        <v>651</v>
      </c>
      <c r="C147" s="145" t="s">
        <v>285</v>
      </c>
      <c r="D147" s="104">
        <f t="shared" si="25"/>
        <v>0</v>
      </c>
      <c r="E147" s="38"/>
      <c r="F147" s="38"/>
      <c r="G147" s="38"/>
      <c r="H147" s="38"/>
      <c r="I147" s="38"/>
      <c r="J147" s="38"/>
      <c r="K147" s="38"/>
      <c r="L147" s="38"/>
      <c r="M147" s="38"/>
      <c r="N147" s="37"/>
      <c r="O147" s="80" t="str">
        <f>IF(((D147=0)),"   ","Нужно заполнить пункт 19 текстовой части - муниципалитеты с доходами бюджетов менее 1 млн руб.")</f>
        <v xml:space="preserve">   </v>
      </c>
      <c r="P147" s="109"/>
    </row>
    <row r="148" spans="2:16">
      <c r="B148" s="144" t="s">
        <v>652</v>
      </c>
      <c r="C148" s="145" t="s">
        <v>1022</v>
      </c>
      <c r="D148" s="104">
        <f t="shared" si="25"/>
        <v>0</v>
      </c>
      <c r="E148" s="38"/>
      <c r="F148" s="38"/>
      <c r="G148" s="42"/>
      <c r="H148" s="38"/>
      <c r="I148" s="38"/>
      <c r="J148" s="38"/>
      <c r="K148" s="38"/>
      <c r="L148" s="40"/>
      <c r="M148" s="40"/>
      <c r="N148" s="37"/>
      <c r="O148" s="80" t="str">
        <f>IF(((E148+F148+H148+I148+K148=0)),"   ","Нужно заполнить пункт 19 текстовой части - поселения с нехарактерно малыми бюджетами")</f>
        <v xml:space="preserve">   </v>
      </c>
      <c r="P148" s="73"/>
    </row>
    <row r="149" spans="2:16">
      <c r="B149" s="143" t="s">
        <v>1028</v>
      </c>
      <c r="C149" s="117" t="s">
        <v>1023</v>
      </c>
      <c r="D149" s="104">
        <f t="shared" si="25"/>
        <v>1</v>
      </c>
      <c r="E149" s="40"/>
      <c r="F149" s="40"/>
      <c r="G149" s="40">
        <v>1</v>
      </c>
      <c r="H149" s="40"/>
      <c r="I149" s="40"/>
      <c r="J149" s="40"/>
      <c r="K149" s="40"/>
      <c r="L149" s="40"/>
      <c r="M149" s="40"/>
      <c r="N149" s="37"/>
      <c r="O149" s="37"/>
      <c r="P149" s="73"/>
    </row>
    <row r="150" spans="2:16">
      <c r="B150" s="144" t="s">
        <v>653</v>
      </c>
      <c r="C150" s="145" t="s">
        <v>1024</v>
      </c>
      <c r="D150" s="104">
        <f t="shared" si="25"/>
        <v>0</v>
      </c>
      <c r="E150" s="42"/>
      <c r="F150" s="42"/>
      <c r="G150" s="38"/>
      <c r="H150" s="42"/>
      <c r="I150" s="42"/>
      <c r="J150" s="42"/>
      <c r="K150" s="42"/>
      <c r="L150" s="42"/>
      <c r="M150" s="42"/>
      <c r="N150" s="37"/>
      <c r="O150" s="80" t="str">
        <f>IF(((G150=0)),"   ","Нужно заполнить пункт 19 текстовой части - сельские поселения с нехарактерно большими бюджетами")</f>
        <v xml:space="preserve">   </v>
      </c>
      <c r="P150" s="73"/>
    </row>
    <row r="151" spans="2:16">
      <c r="B151" s="144" t="s">
        <v>1029</v>
      </c>
      <c r="C151" s="145" t="s">
        <v>1025</v>
      </c>
      <c r="D151" s="104">
        <f t="shared" si="25"/>
        <v>0</v>
      </c>
      <c r="E151" s="38"/>
      <c r="F151" s="38"/>
      <c r="G151" s="38"/>
      <c r="H151" s="38"/>
      <c r="I151" s="38"/>
      <c r="J151" s="38"/>
      <c r="K151" s="38"/>
      <c r="L151" s="38"/>
      <c r="M151" s="38"/>
      <c r="N151" s="37"/>
      <c r="O151" s="80" t="str">
        <f>IF(((D151=0)),"   ","Нужно заполнить пункт 19 текстовой части - муниципалитеты с доходами бюджетов более 1 млрд руб")</f>
        <v xml:space="preserve">   </v>
      </c>
      <c r="P151" s="73"/>
    </row>
    <row r="152" spans="2:16" s="105" customFormat="1">
      <c r="B152" s="144" t="s">
        <v>1030</v>
      </c>
      <c r="C152" s="145" t="s">
        <v>982</v>
      </c>
      <c r="D152" s="104">
        <f t="shared" si="25"/>
        <v>0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7"/>
      <c r="O152" s="111" t="str">
        <f>IF(((D152=0)),"   ","Нужно заполнить пункт 18 текстовой части")</f>
        <v xml:space="preserve">   </v>
      </c>
      <c r="P152" s="109"/>
    </row>
    <row r="153" spans="2:16" s="24" customFormat="1" ht="60">
      <c r="B153" s="155" t="s">
        <v>1031</v>
      </c>
      <c r="C153" s="156" t="s">
        <v>1213</v>
      </c>
      <c r="D153" s="104">
        <f t="shared" si="25"/>
        <v>0</v>
      </c>
      <c r="E153" s="41">
        <f>SUM(E154:E156)</f>
        <v>0</v>
      </c>
      <c r="F153" s="41">
        <f t="shared" ref="F153:M153" si="28">SUM(F154:F156)</f>
        <v>0</v>
      </c>
      <c r="G153" s="41">
        <f t="shared" si="28"/>
        <v>0</v>
      </c>
      <c r="H153" s="41">
        <f t="shared" si="28"/>
        <v>0</v>
      </c>
      <c r="I153" s="41">
        <f t="shared" si="28"/>
        <v>0</v>
      </c>
      <c r="J153" s="41">
        <f t="shared" si="28"/>
        <v>0</v>
      </c>
      <c r="K153" s="41">
        <f t="shared" si="28"/>
        <v>0</v>
      </c>
      <c r="L153" s="41">
        <f t="shared" si="28"/>
        <v>0</v>
      </c>
      <c r="M153" s="41">
        <f t="shared" si="28"/>
        <v>0</v>
      </c>
      <c r="N153" s="66" t="str">
        <f>IF((D153&lt;=D$144)*AND(E153&lt;=E$144)*AND(F153&lt;=F$144)*AND(G153&lt;=G$144)*AND(H153&lt;=H$144)*AND(I153&lt;=I$144)*AND(K153&lt;=K$144)*AND(L153&lt;=L$144)*AND(M153&lt;=M$144)*AND(J153&lt;=J$144),"Выполнено","ПРОВЕРИТЬ (таких муниципалитетов не может быть больше чем муниципалитетов - участников бюджетного процесса в соответствующем году)
)")</f>
        <v>Выполнено</v>
      </c>
      <c r="O153" s="106"/>
    </row>
    <row r="154" spans="2:16" s="24" customFormat="1" ht="75">
      <c r="B154" s="155" t="s">
        <v>1032</v>
      </c>
      <c r="C154" s="156" t="s">
        <v>1271</v>
      </c>
      <c r="D154" s="104">
        <f t="shared" si="25"/>
        <v>0</v>
      </c>
      <c r="E154" s="103"/>
      <c r="F154" s="103"/>
      <c r="G154" s="103"/>
      <c r="H154" s="103"/>
      <c r="I154" s="103"/>
      <c r="J154" s="103"/>
      <c r="K154" s="103"/>
      <c r="L154" s="103"/>
      <c r="M154" s="103"/>
      <c r="N154" s="66" t="str">
        <f>IF((D154&lt;=D$144)*AND(E154&lt;=E$144)*AND(F154&lt;=F$144)*AND(G154&lt;=G$144)*AND(H154&lt;=H$144)*AND(I154&lt;=I$144)*AND(K154&lt;=K$144)*AND(L154&lt;=L$144)*AND(M154&lt;=M$144)*AND(J154&lt;=J$144),"Выполнено","ПРОВЕРИТЬ (таких муниципалитетов не может быть больше чем муниципалитетов - участников бюджетного процесса в соответствующем году)
)")</f>
        <v>Выполнено</v>
      </c>
      <c r="O154" s="37"/>
      <c r="P154" s="105"/>
    </row>
    <row r="155" spans="2:16" s="24" customFormat="1" ht="75">
      <c r="B155" s="155" t="s">
        <v>1033</v>
      </c>
      <c r="C155" s="156" t="s">
        <v>1270</v>
      </c>
      <c r="D155" s="104">
        <f t="shared" si="25"/>
        <v>0</v>
      </c>
      <c r="E155" s="103"/>
      <c r="F155" s="103"/>
      <c r="G155" s="103"/>
      <c r="H155" s="103"/>
      <c r="I155" s="103"/>
      <c r="J155" s="103"/>
      <c r="K155" s="103"/>
      <c r="L155" s="103"/>
      <c r="M155" s="103"/>
      <c r="N155" s="66" t="str">
        <f t="shared" ref="N155:N156" si="29">IF((D155&lt;=D$144)*AND(E155&lt;=E$144)*AND(F155&lt;=F$144)*AND(G155&lt;=G$144)*AND(H155&lt;=H$144)*AND(I155&lt;=I$144)*AND(K155&lt;=K$144)*AND(L155&lt;=L$144)*AND(M155&lt;=M$144)*AND(J155&lt;=J$144),"Выполнено","ПРОВЕРИТЬ (таких муниципалитетов не может быть больше чем муниципалитетов - участников бюджетного процесса в соответствующем году)
)")</f>
        <v>Выполнено</v>
      </c>
      <c r="O155" s="37"/>
    </row>
    <row r="156" spans="2:16" s="24" customFormat="1" ht="75">
      <c r="B156" s="155" t="s">
        <v>1034</v>
      </c>
      <c r="C156" s="156" t="s">
        <v>1201</v>
      </c>
      <c r="D156" s="104">
        <f t="shared" si="25"/>
        <v>0</v>
      </c>
      <c r="E156" s="103"/>
      <c r="F156" s="103"/>
      <c r="G156" s="103"/>
      <c r="H156" s="103"/>
      <c r="I156" s="103"/>
      <c r="J156" s="103"/>
      <c r="K156" s="103"/>
      <c r="L156" s="103"/>
      <c r="M156" s="103"/>
      <c r="N156" s="66" t="str">
        <f t="shared" si="29"/>
        <v>Выполнено</v>
      </c>
      <c r="O156" s="37"/>
      <c r="P156" s="75"/>
    </row>
    <row r="157" spans="2:16" s="24" customFormat="1" ht="45">
      <c r="B157" s="157" t="s">
        <v>1035</v>
      </c>
      <c r="C157" s="158" t="s">
        <v>1027</v>
      </c>
      <c r="D157" s="104">
        <f t="shared" si="25"/>
        <v>0</v>
      </c>
      <c r="E157" s="60"/>
      <c r="F157" s="60"/>
      <c r="G157" s="60"/>
      <c r="H157" s="60"/>
      <c r="I157" s="60"/>
      <c r="J157" s="60"/>
      <c r="K157" s="60"/>
      <c r="L157" s="60"/>
      <c r="M157" s="60"/>
      <c r="N157" s="37"/>
      <c r="O157" s="80" t="str">
        <f>IF(((D157=0)),"   ","Нужно заполнить пункт 20 текстовой части - о временных финансовых администрациях")</f>
        <v xml:space="preserve">   </v>
      </c>
      <c r="P157" s="71"/>
    </row>
    <row r="158" spans="2:16" s="24" customFormat="1" ht="60">
      <c r="B158" s="159" t="s">
        <v>654</v>
      </c>
      <c r="C158" s="142" t="s">
        <v>1036</v>
      </c>
      <c r="D158" s="84"/>
      <c r="E158" s="85"/>
      <c r="F158" s="85"/>
      <c r="G158" s="85"/>
      <c r="H158" s="85"/>
      <c r="I158" s="85"/>
      <c r="J158" s="85"/>
      <c r="K158" s="85"/>
      <c r="L158" s="85"/>
      <c r="M158" s="85"/>
      <c r="N158" s="39"/>
      <c r="O158" s="30"/>
      <c r="P158" s="71"/>
    </row>
    <row r="159" spans="2:16" s="24" customFormat="1" ht="105">
      <c r="B159" s="148" t="s">
        <v>17</v>
      </c>
      <c r="C159" s="117" t="s">
        <v>1214</v>
      </c>
      <c r="D159" s="104">
        <f t="shared" si="25"/>
        <v>1</v>
      </c>
      <c r="E159" s="42"/>
      <c r="F159" s="42"/>
      <c r="G159" s="42">
        <v>1</v>
      </c>
      <c r="H159" s="42"/>
      <c r="I159" s="42"/>
      <c r="J159" s="40"/>
      <c r="K159" s="42"/>
      <c r="L159" s="42"/>
      <c r="M159" s="42"/>
      <c r="N159" s="66" t="str">
        <f>IF((D159&lt;=D144)*AND(E159&lt;=E144)*AND(F159&lt;=F144)*AND(G159&lt;=G144)*AND(H159&lt;=H144)*AND(I159&lt;=I144)*AND(K159&lt;=K144)*AND(L159&lt;=L144)*AND(M159&lt;=M144)*AND(J159&lt;=J144),"Выполнено","ПРОВЕРИТЬ (адресатами делегированных госполномочий могут быть только муниципалитеты - участники бюджетного процесса в соответствующем финансовом году)
)")</f>
        <v>Выполнено</v>
      </c>
      <c r="O159" s="80" t="str">
        <f>IF(((E159=E144)*AND(H159=H144)*AND(I159=I144)*AND(K159=K144)*AND(J159=J144)),"   ","Подсказка - муниципальные районы, муниципальные и городские округа практически всегда осуществляют делегированные госполномочия")</f>
        <v xml:space="preserve">   </v>
      </c>
      <c r="P159" s="71"/>
    </row>
    <row r="160" spans="2:16" s="24" customFormat="1" ht="45">
      <c r="B160" s="148" t="s">
        <v>655</v>
      </c>
      <c r="C160" s="117" t="s">
        <v>196</v>
      </c>
      <c r="D160" s="104">
        <f t="shared" si="25"/>
        <v>1</v>
      </c>
      <c r="E160" s="42"/>
      <c r="F160" s="42"/>
      <c r="G160" s="42">
        <v>1</v>
      </c>
      <c r="H160" s="42"/>
      <c r="I160" s="42"/>
      <c r="J160" s="40"/>
      <c r="K160" s="42"/>
      <c r="L160" s="42"/>
      <c r="M160" s="42"/>
      <c r="N160" s="66" t="str">
        <f>IF((D160&lt;=D159)*AND(E160&lt;=E159)*AND(F160&lt;=F159)*AND(G160&lt;=G159)*AND(H160&lt;=H159)*AND(I160&lt;=I159)*AND(K160&lt;=K159)*AND(L160&lt;=L159)*AND(M160&lt;=M159)*AND(J160&lt;=J159),"Выполнено","ПРОВЕРИТЬ (эта подстрока не может быть больше 10.1)
)")</f>
        <v>Выполнено</v>
      </c>
      <c r="O160" s="34"/>
      <c r="P160" s="71"/>
    </row>
    <row r="161" spans="1:16" s="9" customFormat="1" ht="45">
      <c r="A161" s="100"/>
      <c r="B161" s="148" t="s">
        <v>656</v>
      </c>
      <c r="C161" s="117" t="s">
        <v>1037</v>
      </c>
      <c r="D161" s="104">
        <f t="shared" si="25"/>
        <v>0</v>
      </c>
      <c r="E161" s="42"/>
      <c r="F161" s="42"/>
      <c r="G161" s="42"/>
      <c r="H161" s="42"/>
      <c r="I161" s="42"/>
      <c r="J161" s="40"/>
      <c r="K161" s="42"/>
      <c r="L161" s="42"/>
      <c r="M161" s="61"/>
      <c r="N161" s="66" t="str">
        <f>IF((D161&lt;=D160)*AND(E161&lt;=E160)*AND(F161&lt;=F160)*AND(G161&lt;=G160)*AND(H161&lt;=H160)*AND(I161&lt;=I160)*AND(K161&lt;=K160)*AND(L161&lt;=L160)*AND(M161=0)*AND(J161&lt;=J160),"Выполнено","ПРОВЕРИТЬ (эта подстрока не может быть больше 10.1.1 (все делегированные федеральные госполномочия), в городах федерального значения эта функция делегируется муниципалитетам опосредованно через сами города, см. строку 10.1.2.1)
)")</f>
        <v>Выполнено</v>
      </c>
      <c r="O161" s="34"/>
      <c r="P161" s="75"/>
    </row>
    <row r="162" spans="1:16" s="9" customFormat="1" ht="45">
      <c r="B162" s="144" t="s">
        <v>657</v>
      </c>
      <c r="C162" s="145" t="s">
        <v>1038</v>
      </c>
      <c r="D162" s="104">
        <f t="shared" si="25"/>
        <v>1</v>
      </c>
      <c r="E162" s="38"/>
      <c r="F162" s="38"/>
      <c r="G162" s="38">
        <v>1</v>
      </c>
      <c r="H162" s="38"/>
      <c r="I162" s="38"/>
      <c r="J162" s="38"/>
      <c r="K162" s="38"/>
      <c r="L162" s="38"/>
      <c r="M162" s="38"/>
      <c r="N162" s="66" t="str">
        <f>IF((D162&lt;=D160)*AND(E162&lt;=E160)*AND(F162&lt;=F160)*AND(G162&lt;=G160)*AND(H162&lt;=H160)*AND(I162&lt;=I160)*AND(K162&lt;=K160)*AND(L162&lt;=L160)*AND(M162&lt;=M160)*AND(J162&lt;=J160),"Выполнено","ПРОВЕРИТЬ (эта подстрока не может быть больше 11.1.1)
)")</f>
        <v>Выполнено</v>
      </c>
      <c r="O162" s="80" t="str">
        <f>IF(((D162=0)),"   ","Нужно заполнить пункт 21 текстовой части - об органах местного самоуправления, осуществляющих первичный воинский учет")</f>
        <v>Нужно заполнить пункт 21 текстовой части - об органах местного самоуправления, осуществляющих первичный воинский учет</v>
      </c>
      <c r="P162" s="74"/>
    </row>
    <row r="163" spans="1:16" s="9" customFormat="1" ht="135">
      <c r="B163" s="148" t="s">
        <v>658</v>
      </c>
      <c r="C163" s="117" t="s">
        <v>1045</v>
      </c>
      <c r="D163" s="104">
        <f t="shared" si="25"/>
        <v>0</v>
      </c>
      <c r="E163" s="42"/>
      <c r="F163" s="42"/>
      <c r="G163" s="42"/>
      <c r="H163" s="42"/>
      <c r="I163" s="42"/>
      <c r="J163" s="40"/>
      <c r="K163" s="42"/>
      <c r="L163" s="42"/>
      <c r="M163" s="42"/>
      <c r="N163" s="66" t="str">
        <f>IF((D163&lt;=D159)*AND(E163&lt;=E159)*AND(F163&lt;=F159)*AND(G163&lt;=G159)*AND(H163&lt;=H159)*AND(I163&lt;=I159)*AND(K163&lt;=K159)*AND(L163&lt;=L159)*AND(M163&lt;=M159)*AND(J163&lt;=J159),"Выполнено","ПРОВЕРИТЬ (эта подстрока не может быть больше 10.1)
)")</f>
        <v>Выполнено</v>
      </c>
      <c r="O163" s="37"/>
      <c r="P163" s="71"/>
    </row>
    <row r="164" spans="1:16" s="9" customFormat="1" ht="60">
      <c r="B164" s="148" t="s">
        <v>659</v>
      </c>
      <c r="C164" s="117" t="s">
        <v>1039</v>
      </c>
      <c r="D164" s="2">
        <f>M164</f>
        <v>0</v>
      </c>
      <c r="E164" s="59"/>
      <c r="F164" s="39"/>
      <c r="G164" s="39"/>
      <c r="H164" s="39"/>
      <c r="I164" s="39"/>
      <c r="J164" s="39"/>
      <c r="K164" s="39"/>
      <c r="L164" s="58"/>
      <c r="M164" s="42"/>
      <c r="N164" s="80" t="str">
        <f>IF((M164&lt;=M163),"Выполнено","ПРОВЕРИТЬ (эта подстрока не может быть больше основной строки)")</f>
        <v>Выполнено</v>
      </c>
      <c r="O164" s="37"/>
      <c r="P164" s="71"/>
    </row>
    <row r="165" spans="1:16" s="9" customFormat="1" ht="75">
      <c r="B165" s="148" t="s">
        <v>1049</v>
      </c>
      <c r="C165" s="117" t="s">
        <v>1047</v>
      </c>
      <c r="D165" s="104">
        <f t="shared" si="25"/>
        <v>0</v>
      </c>
      <c r="E165" s="42"/>
      <c r="F165" s="42"/>
      <c r="G165" s="42"/>
      <c r="H165" s="42"/>
      <c r="I165" s="42"/>
      <c r="J165" s="40"/>
      <c r="K165" s="42"/>
      <c r="L165" s="42"/>
      <c r="M165" s="42"/>
      <c r="N165" s="66" t="str">
        <f>IF((D165&lt;=D$163)*AND(E165&lt;=E$163)*AND(F165&lt;=F$163)*AND(G165&lt;=G$163)*AND(H165&lt;=H$163)*AND(I165&lt;=I$163)*AND(K165&lt;=K$163)*AND(L165&lt;=L$163)*AND(M165&lt;=M$163)*AND(J165&lt;=J$163),"Выполнено","ПРОВЕРИТЬ (эта подстрока не может быть больше 10.1.2)
)")</f>
        <v>Выполнено</v>
      </c>
      <c r="O165" s="37"/>
      <c r="P165" s="71"/>
    </row>
    <row r="166" spans="1:16" s="9" customFormat="1" ht="30">
      <c r="B166" s="144" t="s">
        <v>1050</v>
      </c>
      <c r="C166" s="145" t="s">
        <v>1048</v>
      </c>
      <c r="D166" s="104">
        <f t="shared" si="25"/>
        <v>0</v>
      </c>
      <c r="E166" s="38"/>
      <c r="F166" s="38"/>
      <c r="G166" s="38"/>
      <c r="H166" s="38"/>
      <c r="I166" s="38"/>
      <c r="J166" s="38"/>
      <c r="K166" s="38"/>
      <c r="L166" s="38"/>
      <c r="M166" s="38"/>
      <c r="N166" s="66" t="str">
        <f>IF((D166&lt;=D$163)*AND(E166&lt;=E$163)*AND(F166&lt;=F$163)*AND(G166&lt;=G$163)*AND(H166&lt;=H$163)*AND(I166&lt;=I$163)*AND(K166&lt;=K$163)*AND(L166&lt;=L$163)*AND(M166&lt;=M$163)*AND(J166&lt;=J$163),"Выполнено","ПРОВЕРИТЬ (эта подстрока не может быть больше 10.1.2)
)")</f>
        <v>Выполнено</v>
      </c>
      <c r="O166" s="80" t="str">
        <f>IF(((D166=0)),"   ","Нужно заполнить пункт 22 текстовой части - об органах местного самоуправления, осуществляющих полномочия по регистрации актов гражданского состояния")</f>
        <v xml:space="preserve">   </v>
      </c>
      <c r="P166" s="76"/>
    </row>
    <row r="167" spans="1:16" s="9" customFormat="1" ht="60">
      <c r="B167" s="148" t="s">
        <v>1052</v>
      </c>
      <c r="C167" s="117" t="s">
        <v>1051</v>
      </c>
      <c r="D167" s="104">
        <f t="shared" si="25"/>
        <v>0</v>
      </c>
      <c r="E167" s="42"/>
      <c r="F167" s="42"/>
      <c r="G167" s="42"/>
      <c r="H167" s="42"/>
      <c r="I167" s="42"/>
      <c r="J167" s="40"/>
      <c r="K167" s="42"/>
      <c r="L167" s="42"/>
      <c r="M167" s="42"/>
      <c r="N167" s="66" t="str">
        <f>IF((D167&lt;=D163)*AND(E167&lt;=E163)*AND(F167&lt;=F163)*AND(G167&lt;=G163)*AND(H167&lt;=H163)*AND(I167&lt;=I163)*AND(K167&lt;=K163)*AND(L167&lt;=L163)*AND(M167&lt;=M163)*AND(J167&lt;=J163),"Выполнено","ПРОВЕРИТЬ (эта подстрока не может быть больше 10.1.2)
)")</f>
        <v>Выполнено</v>
      </c>
      <c r="O167" s="37"/>
      <c r="P167" s="76"/>
    </row>
    <row r="168" spans="1:16" s="9" customFormat="1" ht="45">
      <c r="B168" s="148" t="s">
        <v>1053</v>
      </c>
      <c r="C168" s="117" t="s">
        <v>1054</v>
      </c>
      <c r="D168" s="104">
        <f t="shared" si="25"/>
        <v>0</v>
      </c>
      <c r="E168" s="42"/>
      <c r="F168" s="42"/>
      <c r="G168" s="42"/>
      <c r="H168" s="42"/>
      <c r="I168" s="42"/>
      <c r="J168" s="40"/>
      <c r="K168" s="42"/>
      <c r="L168" s="42"/>
      <c r="M168" s="42"/>
      <c r="N168" s="66" t="str">
        <f>IF((D168&lt;=D$167)*AND(E168&lt;=E$167)*AND(F168&lt;=F$167)*AND(G168&lt;=G$167)*AND(H168&lt;=H$167)*AND(I168&lt;=I$167)*AND(K168&lt;=K$167)*AND(L168&lt;=L$167)*AND(M168&lt;=M$167)*AND(J168&lt;=J$167),"Выполнено","ПРОВЕРИТЬ (эта подстрока не может быть больше 10.1.2.4)
)")</f>
        <v>Выполнено</v>
      </c>
      <c r="O168" s="37"/>
      <c r="P168" s="76"/>
    </row>
    <row r="169" spans="1:16" s="9" customFormat="1" ht="30">
      <c r="B169" s="148" t="s">
        <v>1055</v>
      </c>
      <c r="C169" s="117" t="s">
        <v>1272</v>
      </c>
      <c r="D169" s="104">
        <f t="shared" si="25"/>
        <v>0</v>
      </c>
      <c r="E169" s="42"/>
      <c r="F169" s="42"/>
      <c r="G169" s="42"/>
      <c r="H169" s="42"/>
      <c r="I169" s="42"/>
      <c r="J169" s="40"/>
      <c r="K169" s="42"/>
      <c r="L169" s="42"/>
      <c r="M169" s="42"/>
      <c r="N169" s="66" t="str">
        <f t="shared" ref="N169:N174" si="30">IF((D169&lt;=D$167)*AND(E169&lt;=E$167)*AND(F169&lt;=F$167)*AND(G169&lt;=G$167)*AND(H169&lt;=H$167)*AND(I169&lt;=I$167)*AND(K169&lt;=K$167)*AND(L169&lt;=L$167)*AND(M169&lt;=M$167)*AND(J169&lt;=J$167),"Выполнено","ПРОВЕРИТЬ (эта подстрока не может быть больше 10.1.2.4)
)")</f>
        <v>Выполнено</v>
      </c>
      <c r="O169" s="37"/>
      <c r="P169" s="76"/>
    </row>
    <row r="170" spans="1:16" s="9" customFormat="1" ht="45">
      <c r="B170" s="148" t="s">
        <v>1056</v>
      </c>
      <c r="C170" s="117" t="s">
        <v>1273</v>
      </c>
      <c r="D170" s="104">
        <f t="shared" si="25"/>
        <v>0</v>
      </c>
      <c r="E170" s="42"/>
      <c r="F170" s="42"/>
      <c r="G170" s="42"/>
      <c r="H170" s="42"/>
      <c r="I170" s="42"/>
      <c r="J170" s="40"/>
      <c r="K170" s="42"/>
      <c r="L170" s="42"/>
      <c r="M170" s="42"/>
      <c r="N170" s="66" t="str">
        <f t="shared" si="30"/>
        <v>Выполнено</v>
      </c>
      <c r="O170" s="37"/>
      <c r="P170" s="76"/>
    </row>
    <row r="171" spans="1:16" s="9" customFormat="1" ht="45">
      <c r="B171" s="148" t="s">
        <v>1057</v>
      </c>
      <c r="C171" s="117" t="s">
        <v>1058</v>
      </c>
      <c r="D171" s="104">
        <f t="shared" si="25"/>
        <v>0</v>
      </c>
      <c r="E171" s="42"/>
      <c r="F171" s="42"/>
      <c r="G171" s="42"/>
      <c r="H171" s="42"/>
      <c r="I171" s="42"/>
      <c r="J171" s="40"/>
      <c r="K171" s="42"/>
      <c r="L171" s="42"/>
      <c r="M171" s="42"/>
      <c r="N171" s="66" t="str">
        <f t="shared" si="30"/>
        <v>Выполнено</v>
      </c>
      <c r="O171" s="37"/>
      <c r="P171" s="76"/>
    </row>
    <row r="172" spans="1:16" s="9" customFormat="1" ht="75">
      <c r="B172" s="148" t="s">
        <v>1059</v>
      </c>
      <c r="C172" s="117" t="s">
        <v>1060</v>
      </c>
      <c r="D172" s="104">
        <f t="shared" si="25"/>
        <v>0</v>
      </c>
      <c r="E172" s="42"/>
      <c r="F172" s="42"/>
      <c r="G172" s="42"/>
      <c r="H172" s="42"/>
      <c r="I172" s="42"/>
      <c r="J172" s="40"/>
      <c r="K172" s="42"/>
      <c r="L172" s="42"/>
      <c r="M172" s="42"/>
      <c r="N172" s="66" t="str">
        <f t="shared" si="30"/>
        <v>Выполнено</v>
      </c>
      <c r="O172" s="37"/>
      <c r="P172" s="76"/>
    </row>
    <row r="173" spans="1:16" s="9" customFormat="1" ht="45">
      <c r="B173" s="148" t="s">
        <v>1061</v>
      </c>
      <c r="C173" s="117" t="s">
        <v>1063</v>
      </c>
      <c r="D173" s="104">
        <f t="shared" si="25"/>
        <v>0</v>
      </c>
      <c r="E173" s="42"/>
      <c r="F173" s="42"/>
      <c r="G173" s="42"/>
      <c r="H173" s="42"/>
      <c r="I173" s="42"/>
      <c r="J173" s="40"/>
      <c r="K173" s="42"/>
      <c r="L173" s="42"/>
      <c r="M173" s="42"/>
      <c r="N173" s="66" t="str">
        <f t="shared" si="30"/>
        <v>Выполнено</v>
      </c>
      <c r="O173" s="37"/>
      <c r="P173" s="76"/>
    </row>
    <row r="174" spans="1:16" s="9" customFormat="1" ht="30">
      <c r="B174" s="148" t="s">
        <v>1062</v>
      </c>
      <c r="C174" s="117" t="s">
        <v>1293</v>
      </c>
      <c r="D174" s="104">
        <f t="shared" si="25"/>
        <v>0</v>
      </c>
      <c r="E174" s="42"/>
      <c r="F174" s="42"/>
      <c r="G174" s="42"/>
      <c r="H174" s="42"/>
      <c r="I174" s="42"/>
      <c r="J174" s="40"/>
      <c r="K174" s="42"/>
      <c r="L174" s="42"/>
      <c r="M174" s="42"/>
      <c r="N174" s="66" t="str">
        <f t="shared" si="30"/>
        <v>Выполнено</v>
      </c>
      <c r="O174" s="37"/>
      <c r="P174" s="76"/>
    </row>
    <row r="175" spans="1:16" s="9" customFormat="1" ht="165">
      <c r="B175" s="148" t="s">
        <v>660</v>
      </c>
      <c r="C175" s="117" t="s">
        <v>1274</v>
      </c>
      <c r="D175" s="104">
        <f t="shared" si="25"/>
        <v>0</v>
      </c>
      <c r="E175" s="40"/>
      <c r="F175" s="40"/>
      <c r="G175" s="40"/>
      <c r="H175" s="40"/>
      <c r="I175" s="40"/>
      <c r="J175" s="40"/>
      <c r="K175" s="40"/>
      <c r="L175" s="40"/>
      <c r="M175" s="40"/>
      <c r="N175" s="66" t="str">
        <f>IF((D175&lt;=D159)*AND(E175&lt;=E159)*AND(F175&lt;=F159)*AND(G175&lt;=G159)*AND(H175&lt;=H159)*AND(I175&lt;=I159)*AND(K175&lt;=K159)*AND(L175&lt;=L159)*AND(M175&lt;=M159)*AND(J175&lt;=J159),"Выполнено","ПРОВЕРИТЬ (эта подстрока не может быть больше 10.1)
)")</f>
        <v>Выполнено</v>
      </c>
      <c r="O175" s="80" t="str">
        <f>IF(((E175=E144)*AND(H175=H144)*AND(I175=I144)*AND(K175=K144)*AND(J175=J144)),"   ","Подсказка - муниципальные районы, муниципальные и городские округа практически всегда осуществляют делегированные госполномочия субъекта Российской Федерации")</f>
        <v xml:space="preserve">   </v>
      </c>
      <c r="P175" s="76"/>
    </row>
    <row r="176" spans="1:16" s="9" customFormat="1" ht="30">
      <c r="B176" s="148" t="s">
        <v>661</v>
      </c>
      <c r="C176" s="117" t="s">
        <v>1275</v>
      </c>
      <c r="D176" s="104">
        <f t="shared" si="25"/>
        <v>0</v>
      </c>
      <c r="E176" s="42"/>
      <c r="F176" s="42"/>
      <c r="G176" s="42"/>
      <c r="H176" s="42"/>
      <c r="I176" s="42"/>
      <c r="J176" s="40"/>
      <c r="K176" s="42"/>
      <c r="L176" s="42"/>
      <c r="M176" s="42"/>
      <c r="N176" s="66" t="str">
        <f>IF((D176&lt;=D175)*AND(E176&lt;=E175)*AND(F176&lt;=F175)*AND(G176&lt;=G175)*AND(H176&lt;=H175)*AND(I176&lt;=I175)*AND(K176&lt;=K175)*AND(L176&lt;=L175)*AND(M176&lt;=M175)*AND(J176&lt;=J175),"Выполнено","ПРОВЕРИТЬ (эта подстрока не может быть больше 10.1.3)
)")</f>
        <v>Выполнено</v>
      </c>
      <c r="O176" s="107"/>
      <c r="P176" s="76"/>
    </row>
    <row r="177" spans="2:16" s="9" customFormat="1" ht="75">
      <c r="B177" s="148" t="s">
        <v>1043</v>
      </c>
      <c r="C177" s="117" t="s">
        <v>1044</v>
      </c>
      <c r="D177" s="104">
        <f>E177+K177</f>
        <v>0</v>
      </c>
      <c r="E177" s="42"/>
      <c r="F177" s="39"/>
      <c r="G177" s="39"/>
      <c r="H177" s="39"/>
      <c r="I177" s="39"/>
      <c r="J177" s="39"/>
      <c r="K177" s="42"/>
      <c r="L177" s="39"/>
      <c r="M177" s="39"/>
      <c r="N177" s="120" t="str">
        <f>IF((E177&lt;=E176)*AND(K177&lt;=K176),"Выполнено","ПРОВЕРИТЬ (эта подстрока не может быть больше предыдущей)
)")</f>
        <v>Выполнено</v>
      </c>
      <c r="O177" s="107"/>
      <c r="P177" s="76"/>
    </row>
    <row r="178" spans="2:16" s="9" customFormat="1" ht="45">
      <c r="B178" s="148" t="s">
        <v>662</v>
      </c>
      <c r="C178" s="117" t="s">
        <v>73</v>
      </c>
      <c r="D178" s="104">
        <f t="shared" si="25"/>
        <v>0</v>
      </c>
      <c r="E178" s="42"/>
      <c r="F178" s="42"/>
      <c r="G178" s="42"/>
      <c r="H178" s="42"/>
      <c r="I178" s="42"/>
      <c r="J178" s="40"/>
      <c r="K178" s="42"/>
      <c r="L178" s="42"/>
      <c r="M178" s="42"/>
      <c r="N178" s="66" t="str">
        <f>IF((D178&lt;=D175)*AND(E178&lt;=E175)*AND(F178&lt;=F175)*AND(G178&lt;=G175)*AND(H178&lt;=H175)*AND(I178&lt;=I175)*AND(K178&lt;=K175)*AND(L178&lt;=L175)*AND(M178&lt;=M175)*AND(J178&lt;=J175),"Выполнено","ПРОВЕРИТЬ (эта подстрока не может быть больше 10.1.3)
)")</f>
        <v>Выполнено</v>
      </c>
      <c r="O178" s="107"/>
      <c r="P178" s="76"/>
    </row>
    <row r="179" spans="2:16" s="9" customFormat="1" ht="90">
      <c r="B179" s="148" t="s">
        <v>663</v>
      </c>
      <c r="C179" s="117" t="s">
        <v>1042</v>
      </c>
      <c r="D179" s="104">
        <f t="shared" si="25"/>
        <v>0</v>
      </c>
      <c r="E179" s="42"/>
      <c r="F179" s="42"/>
      <c r="G179" s="42"/>
      <c r="H179" s="42"/>
      <c r="I179" s="42"/>
      <c r="J179" s="40"/>
      <c r="K179" s="42"/>
      <c r="L179" s="42"/>
      <c r="M179" s="42"/>
      <c r="N179" s="66" t="str">
        <f>IF((D179&lt;=D175)*AND(E179&lt;=E175)*AND(F179&lt;=F175)*AND(G179&lt;=G175)*AND(H179&lt;=H175)*AND(I179&lt;=I175)*AND(K179&lt;=K175)*AND(L179&lt;=L175)*AND(M179&lt;=M175)*AND(J179&lt;=J175),"Выполнено","ПРОВЕРИТЬ (эта подстрока не может быть больше 10.1.3)
)")</f>
        <v>Выполнено</v>
      </c>
      <c r="O179" s="107"/>
      <c r="P179" s="76"/>
    </row>
    <row r="180" spans="2:16" s="9" customFormat="1" ht="60">
      <c r="B180" s="160" t="s">
        <v>664</v>
      </c>
      <c r="C180" s="161" t="s">
        <v>1202</v>
      </c>
      <c r="D180" s="104">
        <f t="shared" si="25"/>
        <v>0</v>
      </c>
      <c r="E180" s="101">
        <f t="shared" ref="E180:M180" si="31">E144-E159</f>
        <v>0</v>
      </c>
      <c r="F180" s="101">
        <f t="shared" si="31"/>
        <v>0</v>
      </c>
      <c r="G180" s="61"/>
      <c r="H180" s="101">
        <f t="shared" si="31"/>
        <v>0</v>
      </c>
      <c r="I180" s="101">
        <f t="shared" si="31"/>
        <v>0</v>
      </c>
      <c r="J180" s="101">
        <f t="shared" si="31"/>
        <v>0</v>
      </c>
      <c r="K180" s="101">
        <f t="shared" si="31"/>
        <v>0</v>
      </c>
      <c r="L180" s="101">
        <f t="shared" si="31"/>
        <v>0</v>
      </c>
      <c r="M180" s="101">
        <f t="shared" si="31"/>
        <v>0</v>
      </c>
      <c r="N180" s="33"/>
      <c r="O180" s="80" t="str">
        <f>IF(((D180-G180=0)),"   ","Нужно заполнить пункт 23 текстовой части - об органах местного самоуправления, НЕ осуществляющих делегированные государственные полномочия")</f>
        <v xml:space="preserve">   </v>
      </c>
      <c r="P180" s="76"/>
    </row>
    <row r="181" spans="2:16" s="9" customFormat="1" ht="105">
      <c r="B181" s="144" t="s">
        <v>665</v>
      </c>
      <c r="C181" s="145" t="s">
        <v>1041</v>
      </c>
      <c r="D181" s="104">
        <f t="shared" si="25"/>
        <v>0</v>
      </c>
      <c r="E181" s="38"/>
      <c r="F181" s="38"/>
      <c r="G181" s="38"/>
      <c r="H181" s="38"/>
      <c r="I181" s="38"/>
      <c r="J181" s="38"/>
      <c r="K181" s="38"/>
      <c r="L181" s="38"/>
      <c r="M181" s="38"/>
      <c r="N181" s="66" t="str">
        <f>IF((D181&lt;=D144)*AND(E181&lt;=E144)*AND(F181&lt;=F144)*AND(G181&lt;=G144)*AND(H181&lt;=H144)*AND(I181&lt;=I144)*AND(K181&lt;=K144)*AND(L181&lt;=L144)*AND(M181&lt;=M144)*AND(J181&lt;=J144),"Выполнено","ПРОВЕРИТЬ (изъять полномочия в порядке перераспределения можно только у тех, кто обладал ими)
)")</f>
        <v>Выполнено</v>
      </c>
      <c r="O181" s="80" t="str">
        <f>IF(((D181=0)),"   ","Нужно заполнить пункт 24 текстовой части - о перераспределении полномочий")</f>
        <v xml:space="preserve">   </v>
      </c>
      <c r="P181" s="76"/>
    </row>
    <row r="182" spans="2:16" s="9" customFormat="1" ht="60">
      <c r="B182" s="144" t="s">
        <v>666</v>
      </c>
      <c r="C182" s="145" t="s">
        <v>1040</v>
      </c>
      <c r="D182" s="104">
        <f>E182+F182+H182+I182+SUM(K182:M182)</f>
        <v>0</v>
      </c>
      <c r="E182" s="38"/>
      <c r="F182" s="38"/>
      <c r="G182" s="61"/>
      <c r="H182" s="38"/>
      <c r="I182" s="38"/>
      <c r="J182" s="38"/>
      <c r="K182" s="38"/>
      <c r="L182" s="38"/>
      <c r="M182" s="38"/>
      <c r="N182" s="66" t="str">
        <f>IF((D182&lt;=D181)*AND(E182&lt;=E181)*AND(F182&lt;=F181)*AND(H182&lt;=H181)*AND(I182&lt;=I181)*AND(K182&lt;=K181)*AND(L182&lt;=L181)*AND(M182&lt;=M181)*AND(J182&lt;=J181),"Выполнено","ПРОВЕРИТЬ (эта подстрока не может быть больше 10.2)
)")</f>
        <v>Выполнено</v>
      </c>
      <c r="O182" s="80" t="str">
        <f>IF(((D182=0)),"   ","Нужно заполнить пункт 24 текстовой части - о перераспределении полномочий")</f>
        <v xml:space="preserve">   </v>
      </c>
      <c r="P182" s="76"/>
    </row>
    <row r="183" spans="2:16" s="9" customFormat="1" ht="75">
      <c r="B183" s="143" t="s">
        <v>297</v>
      </c>
      <c r="C183" s="117" t="s">
        <v>1257</v>
      </c>
      <c r="D183" s="2">
        <f>G183</f>
        <v>0</v>
      </c>
      <c r="E183" s="59"/>
      <c r="F183" s="39"/>
      <c r="G183" s="41">
        <f>SUM(G184:G186)</f>
        <v>0</v>
      </c>
      <c r="H183" s="59"/>
      <c r="I183" s="39"/>
      <c r="J183" s="39"/>
      <c r="K183" s="39"/>
      <c r="L183" s="39"/>
      <c r="M183" s="39"/>
      <c r="N183" s="66" t="str">
        <f>IF((G183&lt;=G144),"Выполнено","ПРОВЕРИТЬ (таких сельских поселений не может быть больше общего числа сельских поселений - участников бюджетных правоотношений в соответствующем году)")</f>
        <v>Выполнено</v>
      </c>
      <c r="O183" s="33"/>
      <c r="P183" s="76"/>
    </row>
    <row r="184" spans="2:16" s="9" customFormat="1" ht="30">
      <c r="B184" s="144" t="s">
        <v>336</v>
      </c>
      <c r="C184" s="145" t="s">
        <v>211</v>
      </c>
      <c r="D184" s="104">
        <f t="shared" ref="D184:D186" si="32">G184</f>
        <v>0</v>
      </c>
      <c r="E184" s="43"/>
      <c r="F184" s="45"/>
      <c r="G184" s="38"/>
      <c r="H184" s="54"/>
      <c r="I184" s="54"/>
      <c r="J184" s="54"/>
      <c r="K184" s="54"/>
      <c r="L184" s="54"/>
      <c r="M184" s="54"/>
      <c r="N184" s="33"/>
      <c r="O184" s="80" t="str">
        <f>IF(((D184=0)),"   ","Нужно заполнить пункт 25 текстовой части - о дополнительном закреплении вопросов местного значения за сельскими поселениями")</f>
        <v xml:space="preserve">   </v>
      </c>
      <c r="P184" s="71"/>
    </row>
    <row r="185" spans="2:16" s="9" customFormat="1" ht="30">
      <c r="B185" s="144" t="s">
        <v>667</v>
      </c>
      <c r="C185" s="145" t="s">
        <v>312</v>
      </c>
      <c r="D185" s="104">
        <f t="shared" si="32"/>
        <v>0</v>
      </c>
      <c r="E185" s="43"/>
      <c r="F185" s="45"/>
      <c r="G185" s="38"/>
      <c r="H185" s="54"/>
      <c r="I185" s="54"/>
      <c r="J185" s="54"/>
      <c r="K185" s="54"/>
      <c r="L185" s="54"/>
      <c r="M185" s="54"/>
      <c r="N185" s="33"/>
      <c r="O185" s="80" t="str">
        <f>IF(((D185=0)),"   ","Нужно заполнить пункт 25 текстовой части - о дополнительном закреплении вопросов местного значения за сельскими поселениями")</f>
        <v xml:space="preserve">   </v>
      </c>
      <c r="P185" s="76"/>
    </row>
    <row r="186" spans="2:16" s="9" customFormat="1" ht="45">
      <c r="B186" s="144" t="s">
        <v>469</v>
      </c>
      <c r="C186" s="145" t="s">
        <v>72</v>
      </c>
      <c r="D186" s="104">
        <f t="shared" si="32"/>
        <v>0</v>
      </c>
      <c r="E186" s="46"/>
      <c r="F186" s="48"/>
      <c r="G186" s="38"/>
      <c r="H186" s="54"/>
      <c r="I186" s="54"/>
      <c r="J186" s="54"/>
      <c r="K186" s="54"/>
      <c r="L186" s="54"/>
      <c r="M186" s="54"/>
      <c r="N186" s="33"/>
      <c r="O186" s="80" t="str">
        <f>IF(((D186=0)),"   ","Нужно заполнить пункт 25 текстовой части - о дополнительном закреплении вопросов местного значения за сельскими поселениями")</f>
        <v xml:space="preserve">   </v>
      </c>
      <c r="P186" s="76"/>
    </row>
    <row r="187" spans="2:16" s="9" customFormat="1" ht="75">
      <c r="B187" s="144" t="s">
        <v>668</v>
      </c>
      <c r="C187" s="145" t="s">
        <v>378</v>
      </c>
      <c r="D187" s="104">
        <f>L187</f>
        <v>0</v>
      </c>
      <c r="E187" s="59"/>
      <c r="F187" s="39"/>
      <c r="G187" s="39"/>
      <c r="H187" s="39"/>
      <c r="I187" s="39"/>
      <c r="J187" s="39"/>
      <c r="K187" s="39"/>
      <c r="L187" s="38"/>
      <c r="M187" s="59"/>
      <c r="N187" s="66" t="str">
        <f>IF((L187&lt;=L144),"Выполнено","ПРОВЕРИТЬ (таких внутригородских райнов не может быть больше общего числа внутригородских районов - участников бюджетных правоотношений в соответствующем году)")</f>
        <v>Выполнено</v>
      </c>
      <c r="O187" s="80" t="str">
        <f>IF(((D187=0)),"   ","Нужно заполнить пункт 26 текстовой части - о дополнительном закреплении вопросов местного значения за внутригородскими районами")</f>
        <v xml:space="preserve">   </v>
      </c>
      <c r="P187" s="76"/>
    </row>
    <row r="188" spans="2:16" s="9" customFormat="1" ht="75">
      <c r="B188" s="148" t="s">
        <v>620</v>
      </c>
      <c r="C188" s="117" t="s">
        <v>1276</v>
      </c>
      <c r="D188" s="121">
        <f>F188+G188</f>
        <v>0</v>
      </c>
      <c r="E188" s="122"/>
      <c r="F188" s="123">
        <f>F189+F190+F191</f>
        <v>0</v>
      </c>
      <c r="G188" s="123">
        <f>G189+G190+G191</f>
        <v>0</v>
      </c>
      <c r="H188" s="124"/>
      <c r="I188" s="124"/>
      <c r="J188" s="124"/>
      <c r="K188" s="124"/>
      <c r="L188" s="124"/>
      <c r="M188" s="124"/>
      <c r="N188" s="107"/>
      <c r="O188" s="125"/>
      <c r="P188" s="76"/>
    </row>
    <row r="189" spans="2:16" s="9" customFormat="1" ht="30">
      <c r="B189" s="148" t="s">
        <v>622</v>
      </c>
      <c r="C189" s="117" t="s">
        <v>1064</v>
      </c>
      <c r="D189" s="121">
        <f t="shared" ref="D189:D198" si="33">F189+G189</f>
        <v>0</v>
      </c>
      <c r="E189" s="122"/>
      <c r="F189" s="126"/>
      <c r="G189" s="126"/>
      <c r="H189" s="124"/>
      <c r="I189" s="124"/>
      <c r="J189" s="124"/>
      <c r="K189" s="124"/>
      <c r="L189" s="124"/>
      <c r="M189" s="124"/>
      <c r="N189" s="107"/>
      <c r="O189" s="125"/>
      <c r="P189" s="76"/>
    </row>
    <row r="190" spans="2:16" s="9" customFormat="1" ht="30">
      <c r="B190" s="148" t="s">
        <v>623</v>
      </c>
      <c r="C190" s="117" t="s">
        <v>1065</v>
      </c>
      <c r="D190" s="121">
        <f t="shared" si="33"/>
        <v>0</v>
      </c>
      <c r="E190" s="122"/>
      <c r="F190" s="126"/>
      <c r="G190" s="126"/>
      <c r="H190" s="124"/>
      <c r="I190" s="124"/>
      <c r="J190" s="124"/>
      <c r="K190" s="124"/>
      <c r="L190" s="124"/>
      <c r="M190" s="124"/>
      <c r="N190" s="107"/>
      <c r="O190" s="125"/>
      <c r="P190" s="76"/>
    </row>
    <row r="191" spans="2:16" s="9" customFormat="1" ht="60">
      <c r="B191" s="148" t="s">
        <v>669</v>
      </c>
      <c r="C191" s="117" t="s">
        <v>1066</v>
      </c>
      <c r="D191" s="121">
        <f t="shared" si="33"/>
        <v>0</v>
      </c>
      <c r="E191" s="122"/>
      <c r="F191" s="126"/>
      <c r="G191" s="126"/>
      <c r="H191" s="124"/>
      <c r="I191" s="124"/>
      <c r="J191" s="124"/>
      <c r="K191" s="124"/>
      <c r="L191" s="124"/>
      <c r="M191" s="124"/>
      <c r="N191" s="107"/>
      <c r="O191" s="125"/>
      <c r="P191" s="76"/>
    </row>
    <row r="192" spans="2:16" s="9" customFormat="1" ht="60">
      <c r="B192" s="148" t="s">
        <v>1084</v>
      </c>
      <c r="C192" s="117" t="s">
        <v>1091</v>
      </c>
      <c r="D192" s="104">
        <f t="shared" ref="D192" si="34">E192</f>
        <v>0</v>
      </c>
      <c r="E192" s="38"/>
      <c r="F192" s="124"/>
      <c r="G192" s="124"/>
      <c r="H192" s="124"/>
      <c r="I192" s="124"/>
      <c r="J192" s="124"/>
      <c r="K192" s="124"/>
      <c r="L192" s="124"/>
      <c r="M192" s="124"/>
      <c r="N192" s="66" t="str">
        <f>IF((E192&lt;=E$144),"Выполнено","ПРОВЕРИТЬ (таких муниципальных районов не может быть больше общего числа муниципальных районов - участников бюджетных правоотношений в соответствующем году)")</f>
        <v>Выполнено</v>
      </c>
      <c r="O192" s="111" t="str">
        <f>IF(((D192=0)),"   ","Нужно заполнить пункт 27 текстовой части - о взаимной передаче полномочий между районами и поселениями по соглашениям поселениями")</f>
        <v xml:space="preserve">   </v>
      </c>
      <c r="P192" s="76"/>
    </row>
    <row r="193" spans="2:16" s="9" customFormat="1" ht="60">
      <c r="B193" s="148" t="s">
        <v>36</v>
      </c>
      <c r="C193" s="117" t="s">
        <v>1086</v>
      </c>
      <c r="D193" s="121">
        <f t="shared" si="33"/>
        <v>0</v>
      </c>
      <c r="E193" s="122"/>
      <c r="F193" s="126"/>
      <c r="G193" s="126"/>
      <c r="H193" s="124"/>
      <c r="I193" s="124"/>
      <c r="J193" s="124"/>
      <c r="K193" s="124"/>
      <c r="L193" s="124"/>
      <c r="M193" s="124"/>
      <c r="N193" s="66" t="str">
        <f>IF((D193&lt;=D$144)*AND(F193&lt;=F$144)*AND(G193&lt;=G$144),"Выполнено","ПРОВЕРИТЬ (таких поселений не может быть больше общего числа поселений - участников бюджетных правоотношений в соответствующем году)")</f>
        <v>Выполнено</v>
      </c>
      <c r="O193" s="125"/>
      <c r="P193" s="76"/>
    </row>
    <row r="194" spans="2:16" s="9" customFormat="1" ht="60">
      <c r="B194" s="148" t="s">
        <v>1085</v>
      </c>
      <c r="C194" s="117" t="s">
        <v>1087</v>
      </c>
      <c r="D194" s="104">
        <f t="shared" ref="D194" si="35">E194</f>
        <v>0</v>
      </c>
      <c r="E194" s="38"/>
      <c r="F194" s="124"/>
      <c r="G194" s="124"/>
      <c r="H194" s="124"/>
      <c r="I194" s="124"/>
      <c r="J194" s="124"/>
      <c r="K194" s="124"/>
      <c r="L194" s="124"/>
      <c r="M194" s="124"/>
      <c r="N194" s="66" t="str">
        <f>IF((E194&lt;=E$144),"Выполнено","ПРОВЕРИТЬ (таких муниципальных районов не может быть больше общего числа муниципальных районов - участников бюджетных правоотношений в соответствующем году)")</f>
        <v>Выполнено</v>
      </c>
      <c r="O194" s="111" t="str">
        <f>IF(((D194=0)),"   ","Нужно заполнить пункт 27 текстовой части - о взаимной передаче полномочий между районами и поселениями по соглашениям поселениями")</f>
        <v xml:space="preserve">   </v>
      </c>
      <c r="P194" s="76"/>
    </row>
    <row r="195" spans="2:16" s="9" customFormat="1" ht="60">
      <c r="B195" s="148" t="s">
        <v>339</v>
      </c>
      <c r="C195" s="117" t="s">
        <v>1090</v>
      </c>
      <c r="D195" s="121">
        <f t="shared" si="33"/>
        <v>0</v>
      </c>
      <c r="E195" s="122"/>
      <c r="F195" s="126"/>
      <c r="G195" s="126"/>
      <c r="H195" s="124"/>
      <c r="I195" s="124"/>
      <c r="J195" s="124"/>
      <c r="K195" s="124"/>
      <c r="L195" s="124"/>
      <c r="M195" s="124"/>
      <c r="N195" s="66" t="str">
        <f>IF((D195&lt;=D$144)*AND(F195&lt;=F$144)*AND(G195&lt;=G$144),"Выполнено","ПРОВЕРИТЬ (таких поселений не может быть больше общего числа поселений - участников бюджетных правоотношений в соответствующем году)")</f>
        <v>Выполнено</v>
      </c>
      <c r="O195" s="125"/>
      <c r="P195" s="76"/>
    </row>
    <row r="196" spans="2:16" s="9" customFormat="1" ht="30">
      <c r="B196" s="148" t="s">
        <v>670</v>
      </c>
      <c r="C196" s="117" t="s">
        <v>1088</v>
      </c>
      <c r="D196" s="121">
        <f t="shared" si="33"/>
        <v>0</v>
      </c>
      <c r="E196" s="122"/>
      <c r="F196" s="38"/>
      <c r="G196" s="38"/>
      <c r="H196" s="124"/>
      <c r="I196" s="124"/>
      <c r="J196" s="124"/>
      <c r="K196" s="124"/>
      <c r="L196" s="124"/>
      <c r="M196" s="124"/>
      <c r="N196" s="66" t="str">
        <f>IF((D196&lt;=D$195)*AND(F196&lt;=F$195)*AND(G196&lt;=G$195),"Выполнено","ПРОВЕРИТЬ (таких поселений не может быть больше чем поселений, отдавших районам часть полномочий, обозначенных в строке 10.9)")</f>
        <v>Выполнено</v>
      </c>
      <c r="O196" s="111" t="str">
        <f>IF(((D196=0)),"   ","Нужно заполнить пункт 28 текстовой части - о поселениях, передавших району основные бюджетные полномочия")</f>
        <v xml:space="preserve">   </v>
      </c>
      <c r="P196" s="76"/>
    </row>
    <row r="197" spans="2:16" s="9" customFormat="1" ht="30">
      <c r="B197" s="148" t="s">
        <v>671</v>
      </c>
      <c r="C197" s="117" t="s">
        <v>1093</v>
      </c>
      <c r="D197" s="121">
        <f t="shared" si="33"/>
        <v>0</v>
      </c>
      <c r="E197" s="122"/>
      <c r="F197" s="42"/>
      <c r="G197" s="42"/>
      <c r="H197" s="124"/>
      <c r="I197" s="124"/>
      <c r="J197" s="124"/>
      <c r="K197" s="124"/>
      <c r="L197" s="124"/>
      <c r="M197" s="124"/>
      <c r="N197" s="66" t="str">
        <f>IF((D197&lt;=D$195)*AND(F197&lt;=F$195)*AND(G197&lt;=G$195),"Выполнено","ПРОВЕРИТЬ (таких поселений не может быть больше чем поселений, отдавших районам часть полномочий, обозначенных в строке 10.9)")</f>
        <v>Выполнено</v>
      </c>
      <c r="O197" s="125"/>
      <c r="P197" s="76"/>
    </row>
    <row r="198" spans="2:16" s="9" customFormat="1" ht="30">
      <c r="B198" s="148" t="s">
        <v>1092</v>
      </c>
      <c r="C198" s="117" t="s">
        <v>1089</v>
      </c>
      <c r="D198" s="121">
        <f t="shared" si="33"/>
        <v>0</v>
      </c>
      <c r="E198" s="122"/>
      <c r="F198" s="38"/>
      <c r="G198" s="38"/>
      <c r="H198" s="124"/>
      <c r="I198" s="124"/>
      <c r="J198" s="124"/>
      <c r="K198" s="124"/>
      <c r="L198" s="124"/>
      <c r="M198" s="124"/>
      <c r="N198" s="66" t="str">
        <f>IF((D198&lt;=D$195)*AND(F198&lt;=F$195)*AND(G198&lt;=G$195),"Выполнено","ПРОВЕРИТЬ (таких поселений не может быть больше чем поселений, отдавших районам часть полномочий, обозначенных в строке 10.9)")</f>
        <v>Выполнено</v>
      </c>
      <c r="O198" s="111" t="str">
        <f>IF(((D198=0)),"   ","Нужно заполнить пункт 28 текстовой части - о поселениях, передавших району все полномочия")</f>
        <v xml:space="preserve">   </v>
      </c>
      <c r="P198" s="76"/>
    </row>
    <row r="199" spans="2:16" s="9" customFormat="1" ht="60">
      <c r="B199" s="144" t="s">
        <v>672</v>
      </c>
      <c r="C199" s="145" t="s">
        <v>1069</v>
      </c>
      <c r="D199" s="104">
        <f>SUM(E199:I199)+K199</f>
        <v>0</v>
      </c>
      <c r="E199" s="38"/>
      <c r="F199" s="38"/>
      <c r="G199" s="38"/>
      <c r="H199" s="38"/>
      <c r="I199" s="38"/>
      <c r="J199" s="38"/>
      <c r="K199" s="38"/>
      <c r="L199" s="59"/>
      <c r="M199" s="39"/>
      <c r="N199" s="33"/>
      <c r="O199" s="80" t="str">
        <f>IF(((D199=0)),"   ","Нужно заполнить пункт 29 текстовой части - о совершении нотариыльных действий органами местного самоуправления")</f>
        <v xml:space="preserve">   </v>
      </c>
      <c r="P199" s="110"/>
    </row>
    <row r="200" spans="2:16" s="9" customFormat="1" ht="60">
      <c r="B200" s="144" t="s">
        <v>1070</v>
      </c>
      <c r="C200" s="145" t="s">
        <v>1068</v>
      </c>
      <c r="D200" s="104">
        <f>SUM(E200:I200)+K200</f>
        <v>0</v>
      </c>
      <c r="E200" s="38"/>
      <c r="F200" s="38"/>
      <c r="G200" s="38"/>
      <c r="H200" s="38"/>
      <c r="I200" s="38"/>
      <c r="J200" s="38"/>
      <c r="K200" s="38"/>
      <c r="L200" s="59"/>
      <c r="M200" s="39"/>
      <c r="N200" s="107"/>
      <c r="O200" s="111" t="str">
        <f>IF(((D200=0)),"   ","Нужно заполнить пункт 29 текстовой части - о совершении нотариыльных действий органами местного самоуправления")</f>
        <v xml:space="preserve">   </v>
      </c>
      <c r="P200" s="110"/>
    </row>
    <row r="201" spans="2:16" s="9" customFormat="1" ht="105">
      <c r="B201" s="162" t="s">
        <v>1071</v>
      </c>
      <c r="C201" s="117" t="s">
        <v>1067</v>
      </c>
      <c r="D201" s="104">
        <f t="shared" ref="D201:D213" si="36">SUM(E201:I201)+SUM(K201:M201)</f>
        <v>1</v>
      </c>
      <c r="E201" s="40"/>
      <c r="F201" s="40"/>
      <c r="G201" s="40">
        <v>1</v>
      </c>
      <c r="H201" s="40"/>
      <c r="I201" s="40"/>
      <c r="J201" s="40"/>
      <c r="K201" s="40"/>
      <c r="L201" s="40"/>
      <c r="M201" s="40"/>
      <c r="N201" s="66" t="str">
        <f>IF((D201&lt;=D144)*AND(E201&lt;=E144)*AND(F201&lt;=F144)*AND(G201&lt;=G144)*AND(H201&lt;=H144)*AND(I201&lt;=I144)*AND(K201&lt;=K144)*AND(L201&lt;=L144)*AND(M201&lt;=M144)*AND(J201&lt;=J144),"Выполнено","ПРОВЕРИТЬ (такими участниками могли быть только муниципалитеты - субъекты бюджетных правоотношений в соответствующем финансовом году)
)")</f>
        <v>Выполнено</v>
      </c>
      <c r="O201" s="107"/>
      <c r="P201" s="76"/>
    </row>
    <row r="202" spans="2:16" s="9" customFormat="1">
      <c r="B202" s="143" t="s">
        <v>1073</v>
      </c>
      <c r="C202" s="117" t="s">
        <v>534</v>
      </c>
      <c r="D202" s="104">
        <f t="shared" si="36"/>
        <v>0</v>
      </c>
      <c r="E202" s="40"/>
      <c r="F202" s="40"/>
      <c r="G202" s="40"/>
      <c r="H202" s="40"/>
      <c r="I202" s="40"/>
      <c r="J202" s="40"/>
      <c r="K202" s="40"/>
      <c r="L202" s="40"/>
      <c r="M202" s="40"/>
      <c r="N202" s="66" t="str">
        <f>IF((D202&lt;=D201)*AND(E202&lt;=E201)*AND(F202&lt;=F201)*AND(G202&lt;=G201)*AND(H202&lt;=H201)*AND(I202&lt;=I201)*AND(K202&lt;=K201)*AND(L202&lt;=L201)*AND(M202&lt;=M201)*AND(J202&lt;=J201),"Выполнено","ПРОВЕРИТЬ (эта подстрока не может быть больше 10.11)
)")</f>
        <v>Выполнено</v>
      </c>
      <c r="O202" s="107"/>
      <c r="P202" s="76"/>
    </row>
    <row r="203" spans="2:16" s="9" customFormat="1">
      <c r="B203" s="143" t="s">
        <v>1074</v>
      </c>
      <c r="C203" s="117" t="s">
        <v>535</v>
      </c>
      <c r="D203" s="104">
        <f t="shared" si="36"/>
        <v>0</v>
      </c>
      <c r="E203" s="40"/>
      <c r="F203" s="40"/>
      <c r="G203" s="40"/>
      <c r="H203" s="40"/>
      <c r="I203" s="40"/>
      <c r="J203" s="40"/>
      <c r="K203" s="40"/>
      <c r="L203" s="40"/>
      <c r="M203" s="40"/>
      <c r="N203" s="66" t="str">
        <f>IF((D203&lt;=D201)*AND(E203&lt;=E201)*AND(F203&lt;=F201)*AND(G203&lt;=G201)*AND(H203&lt;=H201)*AND(I203&lt;=I201)*AND(K203&lt;=K201)*AND(L203&lt;=L201)*AND(M203&lt;=M201)*AND(J203&lt;=J201),"Выполнено","ПРОВЕРИТЬ (эта подстрока не может быть больше 10.11)
)")</f>
        <v>Выполнено</v>
      </c>
      <c r="O203" s="107"/>
      <c r="P203" s="76"/>
    </row>
    <row r="204" spans="2:16" s="24" customFormat="1">
      <c r="B204" s="143" t="s">
        <v>1075</v>
      </c>
      <c r="C204" s="117" t="s">
        <v>536</v>
      </c>
      <c r="D204" s="104">
        <f t="shared" si="36"/>
        <v>0</v>
      </c>
      <c r="E204" s="40"/>
      <c r="F204" s="40"/>
      <c r="G204" s="40"/>
      <c r="H204" s="40"/>
      <c r="I204" s="40"/>
      <c r="J204" s="40"/>
      <c r="K204" s="40"/>
      <c r="L204" s="40"/>
      <c r="M204" s="40"/>
      <c r="N204" s="66" t="str">
        <f>IF((D204&lt;=D201)*AND(E204&lt;=E201)*AND(F204&lt;=F201)*AND(G204&lt;=G201)*AND(H204&lt;=H201)*AND(I204&lt;=I201)*AND(K204&lt;=K201)*AND(L204&lt;=L201)*AND(M204&lt;=M201)*AND(J204&lt;=J201),"Выполнено","ПРОВЕРИТЬ (эта подстрока не может быть больше 10.11)
)")</f>
        <v>Выполнено</v>
      </c>
      <c r="O204" s="107"/>
      <c r="P204" s="75"/>
    </row>
    <row r="205" spans="2:16" s="24" customFormat="1">
      <c r="B205" s="143" t="s">
        <v>1076</v>
      </c>
      <c r="C205" s="117" t="s">
        <v>537</v>
      </c>
      <c r="D205" s="104">
        <f t="shared" si="36"/>
        <v>0</v>
      </c>
      <c r="E205" s="40"/>
      <c r="F205" s="40"/>
      <c r="G205" s="40"/>
      <c r="H205" s="40"/>
      <c r="I205" s="40"/>
      <c r="J205" s="40"/>
      <c r="K205" s="40"/>
      <c r="L205" s="40"/>
      <c r="M205" s="40"/>
      <c r="N205" s="66" t="str">
        <f>IF((D205&lt;=D201)*AND(E205&lt;=E201)*AND(F205&lt;=F201)*AND(G205&lt;=G201)*AND(H205&lt;=H201)*AND(I205&lt;=I201)*AND(K205&lt;=K201)*AND(L205&lt;=L201)*AND(M205&lt;=M201)*AND(J205&lt;=J201),"Выполнено","ПРОВЕРИТЬ (эта подстрока не может быть больше 10.11)
)")</f>
        <v>Выполнено</v>
      </c>
      <c r="O205" s="107"/>
      <c r="P205" s="71"/>
    </row>
    <row r="206" spans="2:16" s="24" customFormat="1">
      <c r="B206" s="143" t="s">
        <v>1077</v>
      </c>
      <c r="C206" s="117" t="s">
        <v>538</v>
      </c>
      <c r="D206" s="104">
        <f t="shared" si="36"/>
        <v>0</v>
      </c>
      <c r="E206" s="40"/>
      <c r="F206" s="40"/>
      <c r="G206" s="40"/>
      <c r="H206" s="40"/>
      <c r="I206" s="40"/>
      <c r="J206" s="40"/>
      <c r="K206" s="40"/>
      <c r="L206" s="40"/>
      <c r="M206" s="40"/>
      <c r="N206" s="66" t="str">
        <f>IF((D206&lt;=D201)*AND(E206&lt;=E201)*AND(F206&lt;=F201)*AND(G206&lt;=G201)*AND(H206&lt;=H201)*AND(I206&lt;=I201)*AND(K206&lt;=K201)*AND(L206&lt;=L201)*AND(M206&lt;=M201)*AND(J206&lt;=J201),"Выполнено","ПРОВЕРИТЬ (эта подстрока не может быть больше 10.11)
)")</f>
        <v>Выполнено</v>
      </c>
      <c r="O206" s="107"/>
      <c r="P206" s="71"/>
    </row>
    <row r="207" spans="2:16" s="24" customFormat="1">
      <c r="B207" s="143" t="s">
        <v>1078</v>
      </c>
      <c r="C207" s="117" t="s">
        <v>539</v>
      </c>
      <c r="D207" s="104">
        <f t="shared" si="36"/>
        <v>1</v>
      </c>
      <c r="E207" s="40"/>
      <c r="F207" s="40"/>
      <c r="G207" s="40">
        <v>1</v>
      </c>
      <c r="H207" s="40"/>
      <c r="I207" s="40"/>
      <c r="J207" s="40"/>
      <c r="K207" s="40"/>
      <c r="L207" s="40"/>
      <c r="M207" s="40"/>
      <c r="N207" s="66" t="str">
        <f>IF((D207&lt;=D201)*AND(E207&lt;=E201)*AND(F207&lt;=F201)*AND(G207&lt;=G201)*AND(H207&lt;=H201)*AND(I207&lt;=I201)*AND(K207&lt;=K201)*AND(L207&lt;=L201)*AND(M207&lt;=M201)*AND(J207&lt;=J201),"Выполнено","ПРОВЕРИТЬ (эта подстрока не может быть больше 10.11)
)")</f>
        <v>Выполнено</v>
      </c>
      <c r="O207" s="107"/>
      <c r="P207" s="71"/>
    </row>
    <row r="208" spans="2:16" s="24" customFormat="1">
      <c r="B208" s="143" t="s">
        <v>1079</v>
      </c>
      <c r="C208" s="117" t="s">
        <v>540</v>
      </c>
      <c r="D208" s="104">
        <f t="shared" si="36"/>
        <v>0</v>
      </c>
      <c r="E208" s="40"/>
      <c r="F208" s="40"/>
      <c r="G208" s="40"/>
      <c r="H208" s="40"/>
      <c r="I208" s="40"/>
      <c r="J208" s="40"/>
      <c r="K208" s="40"/>
      <c r="L208" s="40"/>
      <c r="M208" s="40"/>
      <c r="N208" s="66" t="str">
        <f>IF((D208&lt;=D201)*AND(E208&lt;=E201)*AND(F208&lt;=F201)*AND(G208&lt;=G201)*AND(H208&lt;=H201)*AND(I208&lt;=I201)*AND(K208&lt;=K201)*AND(L208&lt;=L201)*AND(M208&lt;=M201)*AND(J208&lt;=J201),"Выполнено","ПРОВЕРИТЬ (эта подстрока не может быть больше 10.11)
)")</f>
        <v>Выполнено</v>
      </c>
      <c r="O208" s="107"/>
      <c r="P208" s="71"/>
    </row>
    <row r="209" spans="2:16" s="24" customFormat="1">
      <c r="B209" s="163" t="s">
        <v>1080</v>
      </c>
      <c r="C209" s="117" t="s">
        <v>541</v>
      </c>
      <c r="D209" s="104">
        <f t="shared" si="36"/>
        <v>0</v>
      </c>
      <c r="E209" s="40"/>
      <c r="F209" s="40"/>
      <c r="G209" s="40"/>
      <c r="H209" s="40"/>
      <c r="I209" s="40"/>
      <c r="J209" s="40"/>
      <c r="K209" s="40"/>
      <c r="L209" s="40"/>
      <c r="M209" s="40"/>
      <c r="N209" s="66" t="str">
        <f>IF((D209&lt;=D201)*AND(E209&lt;=E201)*AND(F209&lt;=F201)*AND(G209&lt;=G201)*AND(H209&lt;=H201)*AND(I209&lt;=I201)*AND(K209&lt;=K201)*AND(L209&lt;=L201)*AND(M209&lt;=M201)*AND(J209&lt;=J201),"Выполнено","ПРОВЕРИТЬ (эта подстрока не может быть больше 10.11)
)")</f>
        <v>Выполнено</v>
      </c>
      <c r="O209" s="107"/>
      <c r="P209" s="71"/>
    </row>
    <row r="210" spans="2:16" s="24" customFormat="1">
      <c r="B210" s="143" t="s">
        <v>1081</v>
      </c>
      <c r="C210" s="117" t="s">
        <v>542</v>
      </c>
      <c r="D210" s="104">
        <f t="shared" si="36"/>
        <v>0</v>
      </c>
      <c r="E210" s="40"/>
      <c r="F210" s="40"/>
      <c r="G210" s="40"/>
      <c r="H210" s="40"/>
      <c r="I210" s="40"/>
      <c r="J210" s="40"/>
      <c r="K210" s="40"/>
      <c r="L210" s="40"/>
      <c r="M210" s="40"/>
      <c r="N210" s="66" t="str">
        <f>IF((D210&lt;=D201)*AND(E210&lt;=E201)*AND(F210&lt;=F201)*AND(G210&lt;=G201)*AND(H210&lt;=H201)*AND(I210&lt;=I201)*AND(K210&lt;=K201)*AND(L210&lt;=L201)*AND(M210&lt;=M201)*AND(J210&lt;=J201),"Выполнено","ПРОВЕРИТЬ (эта подстрока не может быть больше 10.11)
)")</f>
        <v>Выполнено</v>
      </c>
      <c r="O210" s="107"/>
      <c r="P210" s="74"/>
    </row>
    <row r="211" spans="2:16" s="24" customFormat="1">
      <c r="B211" s="143" t="s">
        <v>1082</v>
      </c>
      <c r="C211" s="117" t="s">
        <v>543</v>
      </c>
      <c r="D211" s="104">
        <f t="shared" si="36"/>
        <v>1</v>
      </c>
      <c r="E211" s="40"/>
      <c r="F211" s="40"/>
      <c r="G211" s="40">
        <v>1</v>
      </c>
      <c r="H211" s="40"/>
      <c r="I211" s="40"/>
      <c r="J211" s="40"/>
      <c r="K211" s="40"/>
      <c r="L211" s="40"/>
      <c r="M211" s="40"/>
      <c r="N211" s="66" t="str">
        <f>IF((D211&lt;=D201)*AND(E211&lt;=E201)*AND(F211&lt;=F201)*AND(G211&lt;=G201)*AND(H211&lt;=H201)*AND(I211&lt;=I201)*AND(K211&lt;=K201)*AND(L211&lt;=L201)*AND(M211&lt;=M201)*AND(J211&lt;=J201),"Выполнено","ПРОВЕРИТЬ (эта подстрока не может быть больше 10.11)
)")</f>
        <v>Выполнено</v>
      </c>
      <c r="O211" s="107"/>
      <c r="P211" s="71"/>
    </row>
    <row r="212" spans="2:16" s="24" customFormat="1" ht="45">
      <c r="B212" s="143" t="s">
        <v>1083</v>
      </c>
      <c r="C212" s="117" t="s">
        <v>544</v>
      </c>
      <c r="D212" s="104">
        <f t="shared" si="36"/>
        <v>0</v>
      </c>
      <c r="E212" s="40"/>
      <c r="F212" s="40"/>
      <c r="G212" s="40"/>
      <c r="H212" s="40"/>
      <c r="I212" s="40"/>
      <c r="J212" s="40"/>
      <c r="K212" s="40"/>
      <c r="L212" s="40"/>
      <c r="M212" s="40"/>
      <c r="N212" s="66" t="str">
        <f>IF((D212&lt;=D201)*AND(E212&lt;=E201)*AND(F212&lt;=F201)*AND(G212&lt;=G201)*AND(H212&lt;=H201)*AND(I212&lt;=I201)*AND(K212&lt;=K201)*AND(L212&lt;=L201)*AND(M212&lt;=M201)*AND(J212&lt;=J201),"Выполнено","ПРОВЕРИТЬ (эта подстрока не может быть больше 10.11)
)")</f>
        <v>Выполнено</v>
      </c>
      <c r="O212" s="107"/>
      <c r="P212" s="71"/>
    </row>
    <row r="213" spans="2:16" s="24" customFormat="1">
      <c r="B213" s="143" t="s">
        <v>1072</v>
      </c>
      <c r="C213" s="117" t="s">
        <v>545</v>
      </c>
      <c r="D213" s="104">
        <f t="shared" si="36"/>
        <v>0</v>
      </c>
      <c r="E213" s="40"/>
      <c r="F213" s="40"/>
      <c r="G213" s="40"/>
      <c r="H213" s="40"/>
      <c r="I213" s="40"/>
      <c r="J213" s="40"/>
      <c r="K213" s="40"/>
      <c r="L213" s="40"/>
      <c r="M213" s="40"/>
      <c r="N213" s="66" t="str">
        <f>IF((D213&lt;=D201)*AND(E213&lt;=E201)*AND(F213&lt;=F201)*AND(G213&lt;=G201)*AND(H213&lt;=H201)*AND(I213&lt;=I201)*AND(K213&lt;=K201)*AND(L213&lt;=L201)*AND(M213&lt;=M201)*AND(J213&lt;=J201),"Выполнено","ПРОВЕРИТЬ (эта подстрока не может быть больше 10.11)
)")</f>
        <v>Выполнено</v>
      </c>
      <c r="O213" s="107"/>
      <c r="P213" s="71"/>
    </row>
    <row r="214" spans="2:16" s="24" customFormat="1" ht="30">
      <c r="B214" s="159" t="s">
        <v>673</v>
      </c>
      <c r="C214" s="142" t="s">
        <v>3</v>
      </c>
      <c r="D214" s="84"/>
      <c r="E214" s="85"/>
      <c r="F214" s="85"/>
      <c r="G214" s="85"/>
      <c r="H214" s="85"/>
      <c r="I214" s="85"/>
      <c r="J214" s="85"/>
      <c r="K214" s="85"/>
      <c r="L214" s="85"/>
      <c r="M214" s="85"/>
      <c r="N214" s="39"/>
      <c r="O214" s="30"/>
      <c r="P214" s="71"/>
    </row>
    <row r="215" spans="2:16" s="24" customFormat="1" ht="45">
      <c r="B215" s="143" t="s">
        <v>674</v>
      </c>
      <c r="C215" s="117" t="s">
        <v>293</v>
      </c>
      <c r="D215" s="84"/>
      <c r="E215" s="85"/>
      <c r="F215" s="85"/>
      <c r="G215" s="85"/>
      <c r="H215" s="85"/>
      <c r="I215" s="85"/>
      <c r="J215" s="85"/>
      <c r="K215" s="85"/>
      <c r="L215" s="85"/>
      <c r="M215" s="85"/>
      <c r="N215" s="39"/>
      <c r="O215" s="30"/>
      <c r="P215" s="71"/>
    </row>
    <row r="216" spans="2:16" s="24" customFormat="1" ht="30">
      <c r="B216" s="144" t="s">
        <v>675</v>
      </c>
      <c r="C216" s="145" t="s">
        <v>212</v>
      </c>
      <c r="D216" s="104">
        <f t="shared" ref="D216:D223" si="37">E216+K216</f>
        <v>0</v>
      </c>
      <c r="E216" s="41">
        <f>SUM(E217:E220)</f>
        <v>0</v>
      </c>
      <c r="F216" s="49"/>
      <c r="G216" s="50"/>
      <c r="H216" s="50"/>
      <c r="I216" s="54"/>
      <c r="J216" s="54"/>
      <c r="K216" s="41">
        <f>SUM(K217:K220)</f>
        <v>0</v>
      </c>
      <c r="L216" s="49"/>
      <c r="M216" s="50"/>
      <c r="N216" s="80" t="str">
        <f>IF((E216=E$10)*AND(K216=K$10),"Выполнено","ПРОВЕРИТЬ (во всех муниципальных районах и городских округах с делением должен быть определен порядок формирования представительного органа)")</f>
        <v>Выполнено</v>
      </c>
      <c r="O216" s="80" t="str">
        <f>IF(((E216+K216=0)),"   ","Нужно заполнить пункт 30 текстовой части - о способах формирования представительных органов муниципальных районов и городских округах с делением")</f>
        <v xml:space="preserve">   </v>
      </c>
      <c r="P216" s="71"/>
    </row>
    <row r="217" spans="2:16" s="24" customFormat="1" ht="30">
      <c r="B217" s="144" t="s">
        <v>676</v>
      </c>
      <c r="C217" s="145" t="s">
        <v>216</v>
      </c>
      <c r="D217" s="104">
        <f t="shared" si="37"/>
        <v>0</v>
      </c>
      <c r="E217" s="62"/>
      <c r="F217" s="43"/>
      <c r="G217" s="54"/>
      <c r="H217" s="54"/>
      <c r="I217" s="54"/>
      <c r="J217" s="54"/>
      <c r="K217" s="62"/>
      <c r="L217" s="43"/>
      <c r="M217" s="44"/>
      <c r="N217" s="33"/>
      <c r="O217" s="33"/>
      <c r="P217" s="73"/>
    </row>
    <row r="218" spans="2:16" s="24" customFormat="1" ht="30">
      <c r="B218" s="144" t="s">
        <v>377</v>
      </c>
      <c r="C218" s="145" t="s">
        <v>217</v>
      </c>
      <c r="D218" s="104">
        <f t="shared" si="37"/>
        <v>0</v>
      </c>
      <c r="E218" s="62"/>
      <c r="F218" s="43"/>
      <c r="G218" s="54"/>
      <c r="H218" s="54"/>
      <c r="I218" s="54"/>
      <c r="J218" s="54"/>
      <c r="K218" s="62"/>
      <c r="L218" s="43"/>
      <c r="M218" s="44"/>
      <c r="N218" s="33"/>
      <c r="O218" s="33"/>
      <c r="P218" s="71"/>
    </row>
    <row r="219" spans="2:16" s="24" customFormat="1" ht="30">
      <c r="B219" s="144" t="s">
        <v>677</v>
      </c>
      <c r="C219" s="145" t="s">
        <v>213</v>
      </c>
      <c r="D219" s="104">
        <f t="shared" si="37"/>
        <v>0</v>
      </c>
      <c r="E219" s="62"/>
      <c r="F219" s="43"/>
      <c r="G219" s="54"/>
      <c r="H219" s="54"/>
      <c r="I219" s="54"/>
      <c r="J219" s="54"/>
      <c r="K219" s="62"/>
      <c r="L219" s="43"/>
      <c r="M219" s="44"/>
      <c r="N219" s="33"/>
      <c r="O219" s="33"/>
      <c r="P219" s="71"/>
    </row>
    <row r="220" spans="2:16" s="24" customFormat="1" ht="45">
      <c r="B220" s="144" t="s">
        <v>678</v>
      </c>
      <c r="C220" s="145" t="s">
        <v>398</v>
      </c>
      <c r="D220" s="104">
        <f t="shared" si="37"/>
        <v>0</v>
      </c>
      <c r="E220" s="62"/>
      <c r="F220" s="43"/>
      <c r="G220" s="44"/>
      <c r="H220" s="44"/>
      <c r="I220" s="54"/>
      <c r="J220" s="54"/>
      <c r="K220" s="62"/>
      <c r="L220" s="43"/>
      <c r="M220" s="44"/>
      <c r="N220" s="33"/>
      <c r="O220" s="33"/>
      <c r="P220" s="71"/>
    </row>
    <row r="221" spans="2:16" s="24" customFormat="1" ht="30">
      <c r="B221" s="144" t="s">
        <v>679</v>
      </c>
      <c r="C221" s="145" t="s">
        <v>1277</v>
      </c>
      <c r="D221" s="104">
        <f t="shared" si="37"/>
        <v>0</v>
      </c>
      <c r="E221" s="41">
        <f>SUM(E222:E223)</f>
        <v>0</v>
      </c>
      <c r="F221" s="43"/>
      <c r="G221" s="54"/>
      <c r="H221" s="54"/>
      <c r="I221" s="54"/>
      <c r="J221" s="54"/>
      <c r="K221" s="41">
        <f>SUM(K222:K223)</f>
        <v>0</v>
      </c>
      <c r="L221" s="43"/>
      <c r="M221" s="54"/>
      <c r="N221" s="80" t="str">
        <f>IF((E221=E126)*AND(K221=K126),"Выполнено","ПРОВЕРИТЬ (во всех уставах муниципальных районов и городских округов с делением должен быть определен порядок формирования представительных органов)")</f>
        <v>Выполнено</v>
      </c>
      <c r="O221" s="116" t="str">
        <f>IF(((E221+K221=0)),"   ","Нужно заполнить пункт 30 текстовой части - о способах формирования представительных органов муниципальных районов и городских округах с делением")</f>
        <v xml:space="preserve">   </v>
      </c>
      <c r="P221" s="73"/>
    </row>
    <row r="222" spans="2:16" s="24" customFormat="1">
      <c r="B222" s="144" t="s">
        <v>680</v>
      </c>
      <c r="C222" s="145" t="s">
        <v>74</v>
      </c>
      <c r="D222" s="104">
        <f t="shared" si="37"/>
        <v>0</v>
      </c>
      <c r="E222" s="38"/>
      <c r="F222" s="43"/>
      <c r="G222" s="54"/>
      <c r="H222" s="54"/>
      <c r="I222" s="54"/>
      <c r="J222" s="54"/>
      <c r="K222" s="38"/>
      <c r="L222" s="43"/>
      <c r="M222" s="54"/>
      <c r="N222" s="33"/>
      <c r="O222" s="33"/>
      <c r="P222" s="73"/>
    </row>
    <row r="223" spans="2:16" s="24" customFormat="1">
      <c r="B223" s="144" t="s">
        <v>383</v>
      </c>
      <c r="C223" s="145" t="s">
        <v>75</v>
      </c>
      <c r="D223" s="104">
        <f t="shared" si="37"/>
        <v>0</v>
      </c>
      <c r="E223" s="38"/>
      <c r="F223" s="46"/>
      <c r="G223" s="47"/>
      <c r="H223" s="47"/>
      <c r="I223" s="54"/>
      <c r="J223" s="54"/>
      <c r="K223" s="38"/>
      <c r="L223" s="46"/>
      <c r="M223" s="47"/>
      <c r="N223" s="33"/>
      <c r="O223" s="33"/>
      <c r="P223" s="73"/>
    </row>
    <row r="224" spans="2:16" s="24" customFormat="1" ht="45">
      <c r="B224" s="144" t="s">
        <v>300</v>
      </c>
      <c r="C224" s="145" t="s">
        <v>215</v>
      </c>
      <c r="D224" s="121">
        <f t="shared" ref="D224" si="38">F224+G224</f>
        <v>0</v>
      </c>
      <c r="E224" s="41"/>
      <c r="F224" s="38"/>
      <c r="G224" s="38"/>
      <c r="H224" s="57"/>
      <c r="I224" s="39"/>
      <c r="J224" s="58"/>
      <c r="K224" s="39"/>
      <c r="L224" s="39"/>
      <c r="M224" s="39"/>
      <c r="N224" s="80" t="str">
        <f>IF((F224&lt;=F$10)*AND(G224&lt;=G$10),"Выполнено","ПРОВЕРИТЬ (таких поселений не может быть больше чем всех поселений)")</f>
        <v>Выполнено</v>
      </c>
      <c r="O224" s="80" t="str">
        <f>IF(((D224=0)),"   ","Нужно заполнить пункт 31 текстовой части - о малочисленных поселениях без представительных органов")</f>
        <v xml:space="preserve">   </v>
      </c>
      <c r="P224" s="71"/>
    </row>
    <row r="225" spans="2:16" s="24" customFormat="1" ht="60">
      <c r="B225" s="148" t="s">
        <v>470</v>
      </c>
      <c r="C225" s="117" t="s">
        <v>598</v>
      </c>
      <c r="D225" s="104">
        <f t="shared" ref="D225:D230" si="39">SUM(E225:I225)+SUM(K225:M225)</f>
        <v>1</v>
      </c>
      <c r="E225" s="41">
        <f>E10</f>
        <v>0</v>
      </c>
      <c r="F225" s="41">
        <f>F10-F224</f>
        <v>0</v>
      </c>
      <c r="G225" s="41">
        <f>G10-G224</f>
        <v>1</v>
      </c>
      <c r="H225" s="41">
        <f t="shared" ref="H225:M225" si="40">H10</f>
        <v>0</v>
      </c>
      <c r="I225" s="41">
        <f t="shared" si="40"/>
        <v>0</v>
      </c>
      <c r="J225" s="41">
        <f t="shared" si="40"/>
        <v>0</v>
      </c>
      <c r="K225" s="41">
        <f t="shared" si="40"/>
        <v>0</v>
      </c>
      <c r="L225" s="41">
        <f t="shared" si="40"/>
        <v>0</v>
      </c>
      <c r="M225" s="41">
        <f t="shared" si="40"/>
        <v>0</v>
      </c>
      <c r="N225" s="33"/>
      <c r="O225" s="33"/>
      <c r="P225" s="71"/>
    </row>
    <row r="226" spans="2:16" s="105" customFormat="1" ht="30">
      <c r="B226" s="143" t="s">
        <v>681</v>
      </c>
      <c r="C226" s="117" t="s">
        <v>96</v>
      </c>
      <c r="D226" s="104">
        <f t="shared" si="39"/>
        <v>1</v>
      </c>
      <c r="E226" s="40"/>
      <c r="F226" s="40"/>
      <c r="G226" s="40">
        <v>1</v>
      </c>
      <c r="H226" s="40"/>
      <c r="I226" s="40"/>
      <c r="J226" s="40"/>
      <c r="K226" s="40"/>
      <c r="L226" s="40"/>
      <c r="M226" s="40"/>
      <c r="N226" s="107"/>
      <c r="O226" s="107"/>
      <c r="P226" s="71"/>
    </row>
    <row r="227" spans="2:16" s="105" customFormat="1">
      <c r="B227" s="144" t="s">
        <v>682</v>
      </c>
      <c r="C227" s="145" t="s">
        <v>76</v>
      </c>
      <c r="D227" s="104">
        <f t="shared" si="39"/>
        <v>1</v>
      </c>
      <c r="E227" s="102">
        <f t="shared" ref="E227:M227" si="41">SUM(E228:E230)</f>
        <v>0</v>
      </c>
      <c r="F227" s="41">
        <f t="shared" si="41"/>
        <v>0</v>
      </c>
      <c r="G227" s="41">
        <f t="shared" si="41"/>
        <v>1</v>
      </c>
      <c r="H227" s="41">
        <f t="shared" si="41"/>
        <v>0</v>
      </c>
      <c r="I227" s="41">
        <f t="shared" si="41"/>
        <v>0</v>
      </c>
      <c r="J227" s="41">
        <f>SUM(J228:J230)</f>
        <v>0</v>
      </c>
      <c r="K227" s="102">
        <f t="shared" si="41"/>
        <v>0</v>
      </c>
      <c r="L227" s="41">
        <f t="shared" si="41"/>
        <v>0</v>
      </c>
      <c r="M227" s="41">
        <f t="shared" si="41"/>
        <v>0</v>
      </c>
      <c r="N227" s="66" t="str">
        <f>IF((F227=F226)*AND(G227=G226)*AND(H227=H226)*AND(I227=I226)*AND(L227=L226)*AND(M227=M226),"Выполнено","ПРОВЕРИТЬ (число избранных на муниципальных выборах представительных органов должно корректно раскладываться по видам избирательных систем)")</f>
        <v>Выполнено</v>
      </c>
      <c r="O227" s="80" t="str">
        <f>IF(((E227-E222=0))*AND(K227-K222=0),"   ","Нужно заполнить пункт 30 текстовой части - о фактически сформированных представительных органах муниципальных районов и городских округах с делением")</f>
        <v xml:space="preserve">   </v>
      </c>
      <c r="P227" s="71"/>
    </row>
    <row r="228" spans="2:16" s="105" customFormat="1" ht="30">
      <c r="B228" s="144" t="s">
        <v>683</v>
      </c>
      <c r="C228" s="145" t="s">
        <v>77</v>
      </c>
      <c r="D228" s="104">
        <f t="shared" si="39"/>
        <v>0</v>
      </c>
      <c r="E228" s="38"/>
      <c r="F228" s="38"/>
      <c r="G228" s="38"/>
      <c r="H228" s="38"/>
      <c r="I228" s="38"/>
      <c r="J228" s="38"/>
      <c r="K228" s="38"/>
      <c r="L228" s="38"/>
      <c r="M228" s="38"/>
      <c r="N228" s="33"/>
      <c r="O228" s="80" t="str">
        <f>IF(((D228=0)),"   ","Нужно заполнить пункт 32 текстовой части - о представительных органах, сформированных по пропорциональной системе")</f>
        <v xml:space="preserve">   </v>
      </c>
      <c r="P228" s="71"/>
    </row>
    <row r="229" spans="2:16" s="105" customFormat="1" ht="30">
      <c r="B229" s="143" t="s">
        <v>684</v>
      </c>
      <c r="C229" s="117" t="s">
        <v>78</v>
      </c>
      <c r="D229" s="104">
        <f t="shared" si="39"/>
        <v>1</v>
      </c>
      <c r="E229" s="42"/>
      <c r="F229" s="42"/>
      <c r="G229" s="42">
        <v>1</v>
      </c>
      <c r="H229" s="42"/>
      <c r="I229" s="42"/>
      <c r="J229" s="40"/>
      <c r="K229" s="42"/>
      <c r="L229" s="42"/>
      <c r="M229" s="42"/>
      <c r="N229" s="33"/>
      <c r="O229" s="33"/>
      <c r="P229" s="71"/>
    </row>
    <row r="230" spans="2:16" s="105" customFormat="1" ht="30">
      <c r="B230" s="144" t="s">
        <v>685</v>
      </c>
      <c r="C230" s="145" t="s">
        <v>79</v>
      </c>
      <c r="D230" s="104">
        <f t="shared" si="39"/>
        <v>0</v>
      </c>
      <c r="E230" s="38"/>
      <c r="F230" s="38"/>
      <c r="G230" s="38"/>
      <c r="H230" s="38"/>
      <c r="I230" s="38"/>
      <c r="J230" s="38"/>
      <c r="K230" s="38"/>
      <c r="L230" s="38"/>
      <c r="M230" s="38"/>
      <c r="N230" s="33"/>
      <c r="O230" s="80" t="str">
        <f>IF(((D230=0)),"   ","Нужно заполнить пункт 32 текстовой части - о представительных органах, сформированных по смешанной системе")</f>
        <v xml:space="preserve">   </v>
      </c>
      <c r="P230" s="71"/>
    </row>
    <row r="231" spans="2:16" s="105" customFormat="1">
      <c r="B231" s="144" t="s">
        <v>686</v>
      </c>
      <c r="C231" s="145" t="s">
        <v>581</v>
      </c>
      <c r="D231" s="104">
        <f t="shared" ref="D231:D233" si="42">E231+K231</f>
        <v>0</v>
      </c>
      <c r="E231" s="102">
        <f>SUM(E232:E233)</f>
        <v>0</v>
      </c>
      <c r="F231" s="43"/>
      <c r="G231" s="54"/>
      <c r="H231" s="43"/>
      <c r="I231" s="54"/>
      <c r="J231" s="54"/>
      <c r="K231" s="102">
        <f>SUM(K232:K233)</f>
        <v>0</v>
      </c>
      <c r="L231" s="43"/>
      <c r="M231" s="54"/>
      <c r="N231" s="66" t="str">
        <f>IF((E226=E227+E231)*AND(K226=K227+K231),"Выполнено","ПРОВЕРИТЬ (число фактически сформированных представительных органов муниципальных районов и городских округов с делением должно корректно раскладываться по способам их формирования)")</f>
        <v>Выполнено</v>
      </c>
      <c r="O231" s="80" t="str">
        <f>IF(((E231-E223=0))*AND(K231-K223=0),"   ","Нужно заполнить пункт 30 текстовой части - о фактически сформированных представительных органах муниципальных районов и городских округах с делением")</f>
        <v xml:space="preserve">   </v>
      </c>
      <c r="P231" s="71"/>
    </row>
    <row r="232" spans="2:16" s="105" customFormat="1">
      <c r="B232" s="143" t="s">
        <v>687</v>
      </c>
      <c r="C232" s="117" t="s">
        <v>582</v>
      </c>
      <c r="D232" s="104">
        <f t="shared" si="42"/>
        <v>0</v>
      </c>
      <c r="E232" s="40"/>
      <c r="F232" s="43"/>
      <c r="G232" s="54"/>
      <c r="H232" s="43"/>
      <c r="I232" s="54"/>
      <c r="J232" s="54"/>
      <c r="K232" s="40"/>
      <c r="L232" s="43"/>
      <c r="M232" s="54"/>
      <c r="N232" s="107"/>
      <c r="O232" s="107"/>
      <c r="P232" s="71"/>
    </row>
    <row r="233" spans="2:16" s="105" customFormat="1" ht="30">
      <c r="B233" s="143" t="s">
        <v>688</v>
      </c>
      <c r="C233" s="117" t="s">
        <v>583</v>
      </c>
      <c r="D233" s="104">
        <f t="shared" si="42"/>
        <v>0</v>
      </c>
      <c r="E233" s="40"/>
      <c r="F233" s="46"/>
      <c r="G233" s="47"/>
      <c r="H233" s="54"/>
      <c r="I233" s="54"/>
      <c r="J233" s="47"/>
      <c r="K233" s="40"/>
      <c r="L233" s="46"/>
      <c r="M233" s="47"/>
      <c r="N233" s="107"/>
      <c r="O233" s="107"/>
      <c r="P233" s="71"/>
    </row>
    <row r="234" spans="2:16" s="105" customFormat="1" ht="45">
      <c r="B234" s="143" t="s">
        <v>689</v>
      </c>
      <c r="C234" s="117" t="s">
        <v>584</v>
      </c>
      <c r="D234" s="104">
        <f t="shared" ref="D234:D237" si="43">SUM(E234:I234)+SUM(K234:M234)</f>
        <v>1</v>
      </c>
      <c r="E234" s="41">
        <f>E235+E236+E237</f>
        <v>0</v>
      </c>
      <c r="F234" s="41">
        <f t="shared" ref="F234:M234" si="44">F235+F236+F237</f>
        <v>0</v>
      </c>
      <c r="G234" s="41">
        <f t="shared" si="44"/>
        <v>1</v>
      </c>
      <c r="H234" s="41">
        <f t="shared" si="44"/>
        <v>0</v>
      </c>
      <c r="I234" s="41">
        <f>I235+I236+I237</f>
        <v>0</v>
      </c>
      <c r="J234" s="41">
        <f>J235+J236+J237</f>
        <v>0</v>
      </c>
      <c r="K234" s="41">
        <f t="shared" si="44"/>
        <v>0</v>
      </c>
      <c r="L234" s="41">
        <f t="shared" si="44"/>
        <v>0</v>
      </c>
      <c r="M234" s="41">
        <f t="shared" si="44"/>
        <v>0</v>
      </c>
      <c r="N234" s="66" t="str">
        <f>IF((D234=D227)*AND(E234=E227)*AND(F234=F227)*AND(G234=G227)*AND(H234=H227)*AND(I234=I227)*AND(K234=K227)*AND(L234=L227)*AND(M234=M227)*AND(J234=J227),"Выполнено","ПРОВЕРИТЬ - по количеству действующих представительных органов)")</f>
        <v>Выполнено</v>
      </c>
      <c r="O234" s="108"/>
      <c r="P234" s="71"/>
    </row>
    <row r="235" spans="2:16" s="105" customFormat="1">
      <c r="B235" s="143" t="s">
        <v>379</v>
      </c>
      <c r="C235" s="117" t="s">
        <v>1096</v>
      </c>
      <c r="D235" s="104">
        <f t="shared" si="43"/>
        <v>0</v>
      </c>
      <c r="E235" s="40"/>
      <c r="F235" s="40"/>
      <c r="G235" s="40"/>
      <c r="H235" s="40"/>
      <c r="I235" s="40"/>
      <c r="J235" s="40"/>
      <c r="K235" s="40"/>
      <c r="L235" s="40"/>
      <c r="M235" s="40"/>
      <c r="N235" s="107"/>
      <c r="O235" s="107"/>
      <c r="P235" s="71"/>
    </row>
    <row r="236" spans="2:16" s="105" customFormat="1">
      <c r="B236" s="143" t="s">
        <v>380</v>
      </c>
      <c r="C236" s="117" t="s">
        <v>577</v>
      </c>
      <c r="D236" s="104">
        <f t="shared" si="43"/>
        <v>1</v>
      </c>
      <c r="E236" s="40"/>
      <c r="F236" s="40"/>
      <c r="G236" s="40">
        <v>1</v>
      </c>
      <c r="H236" s="40"/>
      <c r="I236" s="40"/>
      <c r="J236" s="40"/>
      <c r="K236" s="40"/>
      <c r="L236" s="40"/>
      <c r="M236" s="40"/>
      <c r="N236" s="107"/>
      <c r="O236" s="107"/>
      <c r="P236" s="71"/>
    </row>
    <row r="237" spans="2:16" s="105" customFormat="1">
      <c r="B237" s="143" t="s">
        <v>690</v>
      </c>
      <c r="C237" s="117" t="s">
        <v>1097</v>
      </c>
      <c r="D237" s="104">
        <f t="shared" si="43"/>
        <v>0</v>
      </c>
      <c r="E237" s="40"/>
      <c r="F237" s="40"/>
      <c r="G237" s="40"/>
      <c r="H237" s="40"/>
      <c r="I237" s="40"/>
      <c r="J237" s="40"/>
      <c r="K237" s="40"/>
      <c r="L237" s="40"/>
      <c r="M237" s="40"/>
      <c r="N237" s="107"/>
      <c r="O237" s="107"/>
      <c r="P237" s="71"/>
    </row>
    <row r="238" spans="2:16" s="105" customFormat="1" ht="30">
      <c r="B238" s="143" t="s">
        <v>691</v>
      </c>
      <c r="C238" s="117" t="s">
        <v>602</v>
      </c>
      <c r="D238" s="104">
        <f t="shared" ref="D238:D241" si="45">E238+K238</f>
        <v>0</v>
      </c>
      <c r="E238" s="41">
        <f>E239+E240+E241</f>
        <v>0</v>
      </c>
      <c r="F238" s="55"/>
      <c r="G238" s="51"/>
      <c r="H238" s="55"/>
      <c r="I238" s="54"/>
      <c r="J238" s="54"/>
      <c r="K238" s="41">
        <f t="shared" ref="K238" si="46">K239+K240+K241</f>
        <v>0</v>
      </c>
      <c r="L238" s="55"/>
      <c r="M238" s="51"/>
      <c r="N238" s="66" t="str">
        <f>IF((D238=D231)*AND(E238=E231)*AND(K238=K231)*AND(K238=K231),"Выполнено","ПРОВЕРИТЬ - по количеству действующих представительных органов)")</f>
        <v>Выполнено</v>
      </c>
      <c r="O238" s="108"/>
      <c r="P238" s="71"/>
    </row>
    <row r="239" spans="2:16" s="105" customFormat="1">
      <c r="B239" s="143" t="s">
        <v>692</v>
      </c>
      <c r="C239" s="117" t="s">
        <v>600</v>
      </c>
      <c r="D239" s="104">
        <f t="shared" si="45"/>
        <v>0</v>
      </c>
      <c r="E239" s="40"/>
      <c r="F239" s="43"/>
      <c r="G239" s="54"/>
      <c r="H239" s="43"/>
      <c r="I239" s="54"/>
      <c r="J239" s="54"/>
      <c r="K239" s="40"/>
      <c r="L239" s="43"/>
      <c r="M239" s="54"/>
      <c r="N239" s="107"/>
      <c r="O239" s="107"/>
      <c r="P239" s="71"/>
    </row>
    <row r="240" spans="2:16" s="105" customFormat="1">
      <c r="B240" s="143" t="s">
        <v>693</v>
      </c>
      <c r="C240" s="117" t="s">
        <v>601</v>
      </c>
      <c r="D240" s="104">
        <f t="shared" si="45"/>
        <v>0</v>
      </c>
      <c r="E240" s="40"/>
      <c r="F240" s="43"/>
      <c r="G240" s="54"/>
      <c r="H240" s="43"/>
      <c r="I240" s="54"/>
      <c r="J240" s="54"/>
      <c r="K240" s="40"/>
      <c r="L240" s="43"/>
      <c r="M240" s="54"/>
      <c r="N240" s="107"/>
      <c r="O240" s="107"/>
      <c r="P240" s="71"/>
    </row>
    <row r="241" spans="2:16" s="24" customFormat="1">
      <c r="B241" s="143" t="s">
        <v>694</v>
      </c>
      <c r="C241" s="117" t="s">
        <v>1095</v>
      </c>
      <c r="D241" s="104">
        <f t="shared" si="45"/>
        <v>0</v>
      </c>
      <c r="E241" s="40"/>
      <c r="F241" s="46"/>
      <c r="G241" s="47"/>
      <c r="H241" s="46"/>
      <c r="I241" s="47"/>
      <c r="J241" s="47"/>
      <c r="K241" s="40"/>
      <c r="L241" s="46"/>
      <c r="M241" s="47"/>
      <c r="N241" s="107"/>
      <c r="O241" s="107"/>
      <c r="P241" s="73"/>
    </row>
    <row r="242" spans="2:16" s="24" customFormat="1" ht="45">
      <c r="B242" s="143" t="s">
        <v>695</v>
      </c>
      <c r="C242" s="117" t="s">
        <v>1203</v>
      </c>
      <c r="D242" s="104">
        <f t="shared" ref="D242:D272" si="47">SUM(E242:I242)+SUM(K242:M242)</f>
        <v>1</v>
      </c>
      <c r="E242" s="41">
        <f>SUM(E244:E248)</f>
        <v>0</v>
      </c>
      <c r="F242" s="41">
        <f t="shared" ref="F242:M242" si="48">SUM(F243:F248)</f>
        <v>0</v>
      </c>
      <c r="G242" s="41">
        <f t="shared" si="48"/>
        <v>1</v>
      </c>
      <c r="H242" s="41">
        <f t="shared" si="48"/>
        <v>0</v>
      </c>
      <c r="I242" s="41">
        <f t="shared" si="48"/>
        <v>0</v>
      </c>
      <c r="J242" s="41">
        <f t="shared" si="48"/>
        <v>0</v>
      </c>
      <c r="K242" s="41">
        <f t="shared" si="48"/>
        <v>0</v>
      </c>
      <c r="L242" s="41">
        <f t="shared" si="48"/>
        <v>0</v>
      </c>
      <c r="M242" s="41">
        <f t="shared" si="48"/>
        <v>0</v>
      </c>
      <c r="N242" s="66" t="str">
        <f>IF((D242=D226)*AND(E242=E226)*AND(F242=F226)*AND(G242=G226)*AND(H242=H226)*AND(I242=I226)*AND(K242=K226)*AND(L242=L226)*AND(M242=M226)*AND(J242=J226),"Выполнено","ПРОВЕРИТЬ (в сумме должно получиться число действующих представительных органов)")</f>
        <v>Выполнено</v>
      </c>
      <c r="O242" s="33"/>
      <c r="P242" s="109"/>
    </row>
    <row r="243" spans="2:16" s="24" customFormat="1">
      <c r="B243" s="143" t="s">
        <v>594</v>
      </c>
      <c r="C243" s="117" t="s">
        <v>635</v>
      </c>
      <c r="D243" s="104">
        <f>SUM(F243:I243)+SUM(K243:L243)</f>
        <v>1</v>
      </c>
      <c r="E243" s="61"/>
      <c r="F243" s="42"/>
      <c r="G243" s="42">
        <v>1</v>
      </c>
      <c r="H243" s="42"/>
      <c r="I243" s="42"/>
      <c r="J243" s="40"/>
      <c r="K243" s="42"/>
      <c r="L243" s="42"/>
      <c r="M243" s="61"/>
      <c r="N243" s="33"/>
      <c r="O243" s="33"/>
      <c r="P243" s="71"/>
    </row>
    <row r="244" spans="2:16" s="24" customFormat="1">
      <c r="B244" s="143" t="s">
        <v>595</v>
      </c>
      <c r="C244" s="117" t="s">
        <v>472</v>
      </c>
      <c r="D244" s="104">
        <f t="shared" si="47"/>
        <v>0</v>
      </c>
      <c r="E244" s="42"/>
      <c r="F244" s="42"/>
      <c r="G244" s="42"/>
      <c r="H244" s="42"/>
      <c r="I244" s="42"/>
      <c r="J244" s="40"/>
      <c r="K244" s="42"/>
      <c r="L244" s="42"/>
      <c r="M244" s="42"/>
      <c r="N244" s="33"/>
      <c r="O244" s="33"/>
      <c r="P244" s="74"/>
    </row>
    <row r="245" spans="2:16" s="24" customFormat="1">
      <c r="B245" s="143" t="s">
        <v>696</v>
      </c>
      <c r="C245" s="117" t="s">
        <v>1098</v>
      </c>
      <c r="D245" s="104">
        <f t="shared" si="47"/>
        <v>0</v>
      </c>
      <c r="E245" s="42"/>
      <c r="F245" s="42"/>
      <c r="G245" s="42"/>
      <c r="H245" s="42"/>
      <c r="I245" s="42"/>
      <c r="J245" s="40"/>
      <c r="K245" s="42"/>
      <c r="L245" s="42"/>
      <c r="M245" s="42"/>
      <c r="N245" s="33"/>
      <c r="O245" s="33"/>
      <c r="P245" s="71"/>
    </row>
    <row r="246" spans="2:16" s="105" customFormat="1">
      <c r="B246" s="143" t="s">
        <v>596</v>
      </c>
      <c r="C246" s="117" t="s">
        <v>1099</v>
      </c>
      <c r="D246" s="104">
        <f t="shared" si="47"/>
        <v>0</v>
      </c>
      <c r="E246" s="42"/>
      <c r="F246" s="42"/>
      <c r="G246" s="42"/>
      <c r="H246" s="42"/>
      <c r="I246" s="42"/>
      <c r="J246" s="40"/>
      <c r="K246" s="42"/>
      <c r="L246" s="42"/>
      <c r="M246" s="42"/>
      <c r="N246" s="33"/>
      <c r="O246" s="33"/>
      <c r="P246" s="71"/>
    </row>
    <row r="247" spans="2:16" s="105" customFormat="1">
      <c r="B247" s="143" t="s">
        <v>597</v>
      </c>
      <c r="C247" s="117" t="s">
        <v>1100</v>
      </c>
      <c r="D247" s="104">
        <f t="shared" si="47"/>
        <v>0</v>
      </c>
      <c r="E247" s="42"/>
      <c r="F247" s="42"/>
      <c r="G247" s="42"/>
      <c r="H247" s="42"/>
      <c r="I247" s="42"/>
      <c r="J247" s="40"/>
      <c r="K247" s="42"/>
      <c r="L247" s="42"/>
      <c r="M247" s="42"/>
      <c r="N247" s="33"/>
      <c r="O247" s="33"/>
      <c r="P247" s="71"/>
    </row>
    <row r="248" spans="2:16" s="105" customFormat="1">
      <c r="B248" s="144" t="s">
        <v>1101</v>
      </c>
      <c r="C248" s="145" t="s">
        <v>1102</v>
      </c>
      <c r="D248" s="104">
        <f t="shared" si="47"/>
        <v>0</v>
      </c>
      <c r="E248" s="38"/>
      <c r="F248" s="38"/>
      <c r="G248" s="38"/>
      <c r="H248" s="38"/>
      <c r="I248" s="38"/>
      <c r="J248" s="38"/>
      <c r="K248" s="38"/>
      <c r="L248" s="38"/>
      <c r="M248" s="38"/>
      <c r="N248" s="33"/>
      <c r="O248" s="80" t="str">
        <f>IF(((D248=0)),"   ","Нужно заполнить пункт 33 текстовой части - о представительных органах с 51 и более депутатов")</f>
        <v xml:space="preserve">   </v>
      </c>
      <c r="P248" s="71"/>
    </row>
    <row r="249" spans="2:16" s="105" customFormat="1" ht="30">
      <c r="B249" s="143" t="s">
        <v>1106</v>
      </c>
      <c r="C249" s="117" t="s">
        <v>1204</v>
      </c>
      <c r="D249" s="104">
        <f t="shared" si="47"/>
        <v>1</v>
      </c>
      <c r="E249" s="41">
        <f t="shared" ref="E249:M249" si="49">SUM(E250:E255)</f>
        <v>0</v>
      </c>
      <c r="F249" s="41">
        <f t="shared" si="49"/>
        <v>0</v>
      </c>
      <c r="G249" s="41">
        <f t="shared" si="49"/>
        <v>1</v>
      </c>
      <c r="H249" s="41">
        <f t="shared" si="49"/>
        <v>0</v>
      </c>
      <c r="I249" s="41">
        <f t="shared" si="49"/>
        <v>0</v>
      </c>
      <c r="J249" s="41">
        <f t="shared" si="49"/>
        <v>0</v>
      </c>
      <c r="K249" s="41">
        <f t="shared" si="49"/>
        <v>0</v>
      </c>
      <c r="L249" s="41">
        <f t="shared" si="49"/>
        <v>0</v>
      </c>
      <c r="M249" s="41">
        <f t="shared" si="49"/>
        <v>0</v>
      </c>
      <c r="N249" s="66" t="str">
        <f>IF((D249=D226)*AND(E249=E226)*AND(F249=F226)*AND(G249=G226)*AND(H249=H226)*AND(I249=I226)*AND(K249=K226)*AND(L249=L226)*AND(M249=M226)*AND(J249=J226),"Выполнено","ПРОВЕРИТЬ (в сумме должно получиться общее число действующих представительных органов)")</f>
        <v>Выполнено</v>
      </c>
      <c r="O249" s="33"/>
      <c r="P249" s="109"/>
    </row>
    <row r="250" spans="2:16" s="105" customFormat="1">
      <c r="B250" s="143" t="s">
        <v>1107</v>
      </c>
      <c r="C250" s="117" t="s">
        <v>1104</v>
      </c>
      <c r="D250" s="104">
        <f t="shared" si="47"/>
        <v>1</v>
      </c>
      <c r="E250" s="42"/>
      <c r="F250" s="42"/>
      <c r="G250" s="42">
        <v>1</v>
      </c>
      <c r="H250" s="42"/>
      <c r="I250" s="42"/>
      <c r="J250" s="40"/>
      <c r="K250" s="42"/>
      <c r="L250" s="42"/>
      <c r="M250" s="42"/>
      <c r="N250" s="107"/>
      <c r="O250" s="33"/>
      <c r="P250" s="71"/>
    </row>
    <row r="251" spans="2:16" s="105" customFormat="1">
      <c r="B251" s="143" t="s">
        <v>1108</v>
      </c>
      <c r="C251" s="117" t="s">
        <v>472</v>
      </c>
      <c r="D251" s="104">
        <f t="shared" si="47"/>
        <v>0</v>
      </c>
      <c r="E251" s="42"/>
      <c r="F251" s="42"/>
      <c r="G251" s="42"/>
      <c r="H251" s="42"/>
      <c r="I251" s="42"/>
      <c r="J251" s="40"/>
      <c r="K251" s="42"/>
      <c r="L251" s="42"/>
      <c r="M251" s="42"/>
      <c r="N251" s="107"/>
      <c r="O251" s="33"/>
      <c r="P251" s="71"/>
    </row>
    <row r="252" spans="2:16" s="105" customFormat="1">
      <c r="B252" s="143" t="s">
        <v>1109</v>
      </c>
      <c r="C252" s="117" t="s">
        <v>1098</v>
      </c>
      <c r="D252" s="104">
        <f t="shared" si="47"/>
        <v>0</v>
      </c>
      <c r="E252" s="42"/>
      <c r="F252" s="42"/>
      <c r="G252" s="42"/>
      <c r="H252" s="42"/>
      <c r="I252" s="42"/>
      <c r="J252" s="40"/>
      <c r="K252" s="42"/>
      <c r="L252" s="42"/>
      <c r="M252" s="42"/>
      <c r="N252" s="107"/>
      <c r="O252" s="33"/>
      <c r="P252" s="71"/>
    </row>
    <row r="253" spans="2:16" s="105" customFormat="1">
      <c r="B253" s="143" t="s">
        <v>1110</v>
      </c>
      <c r="C253" s="117" t="s">
        <v>1099</v>
      </c>
      <c r="D253" s="104">
        <f t="shared" si="47"/>
        <v>0</v>
      </c>
      <c r="E253" s="42"/>
      <c r="F253" s="42"/>
      <c r="G253" s="42"/>
      <c r="H253" s="42"/>
      <c r="I253" s="42"/>
      <c r="J253" s="40"/>
      <c r="K253" s="42"/>
      <c r="L253" s="42"/>
      <c r="M253" s="42"/>
      <c r="N253" s="107"/>
      <c r="O253" s="33"/>
      <c r="P253" s="71"/>
    </row>
    <row r="254" spans="2:16" s="24" customFormat="1">
      <c r="B254" s="143" t="s">
        <v>1111</v>
      </c>
      <c r="C254" s="117" t="s">
        <v>1100</v>
      </c>
      <c r="D254" s="104">
        <f t="shared" si="47"/>
        <v>0</v>
      </c>
      <c r="E254" s="42"/>
      <c r="F254" s="42"/>
      <c r="G254" s="42"/>
      <c r="H254" s="42"/>
      <c r="I254" s="42"/>
      <c r="J254" s="40"/>
      <c r="K254" s="42"/>
      <c r="L254" s="42"/>
      <c r="M254" s="42"/>
      <c r="N254" s="107"/>
      <c r="O254" s="33"/>
      <c r="P254" s="74"/>
    </row>
    <row r="255" spans="2:16" s="105" customFormat="1">
      <c r="B255" s="144" t="s">
        <v>1103</v>
      </c>
      <c r="C255" s="145" t="s">
        <v>1105</v>
      </c>
      <c r="D255" s="104">
        <f t="shared" si="47"/>
        <v>0</v>
      </c>
      <c r="E255" s="38"/>
      <c r="F255" s="38"/>
      <c r="G255" s="38"/>
      <c r="H255" s="38"/>
      <c r="I255" s="38"/>
      <c r="J255" s="38"/>
      <c r="K255" s="38"/>
      <c r="L255" s="38"/>
      <c r="M255" s="38"/>
      <c r="N255" s="107"/>
      <c r="O255" s="80" t="str">
        <f>IF(((D255=0)),"   ","Нужно заполнить пункт 33 текстовой части - о представительных органах с 51 и более депутатов")</f>
        <v xml:space="preserve">   </v>
      </c>
      <c r="P255" s="74"/>
    </row>
    <row r="256" spans="2:16" s="105" customFormat="1" ht="30">
      <c r="B256" s="143" t="s">
        <v>1115</v>
      </c>
      <c r="C256" s="117" t="s">
        <v>475</v>
      </c>
      <c r="D256" s="104">
        <f t="shared" si="47"/>
        <v>0</v>
      </c>
      <c r="E256" s="40"/>
      <c r="F256" s="40"/>
      <c r="G256" s="40"/>
      <c r="H256" s="40"/>
      <c r="I256" s="40"/>
      <c r="J256" s="40"/>
      <c r="K256" s="40"/>
      <c r="L256" s="40"/>
      <c r="M256" s="40"/>
      <c r="N256" s="66" t="str">
        <f>IF((D256&lt;=D226)*AND(E256&lt;=E226)*AND(F256&lt;=F226)*AND(G256&lt;=G226)*AND(H256&lt;=H226)*AND(I256&lt;=I226)*AND(K256&lt;=K226)*AND(L256&lt;=L226)*AND(M256&lt;=M226)*AND(J256&lt;=J226),"Выполнено","ПРОВЕРИТЬ (таких представительных органов не может быть больше общего их числа)")</f>
        <v>Выполнено</v>
      </c>
      <c r="O256" s="111" t="str">
        <f>IF(((D256&gt;=D228+D230)),"   ","Подсказка - представительные органы, избранные по смешанной или пропорциональной системе, будут иметь фракции")</f>
        <v xml:space="preserve">   </v>
      </c>
      <c r="P256" s="74"/>
    </row>
    <row r="257" spans="2:16" s="24" customFormat="1">
      <c r="B257" s="143" t="s">
        <v>573</v>
      </c>
      <c r="C257" s="117" t="s">
        <v>480</v>
      </c>
      <c r="D257" s="104">
        <f t="shared" si="47"/>
        <v>0</v>
      </c>
      <c r="E257" s="40"/>
      <c r="F257" s="40"/>
      <c r="G257" s="40"/>
      <c r="H257" s="40"/>
      <c r="I257" s="40"/>
      <c r="J257" s="40"/>
      <c r="K257" s="40"/>
      <c r="L257" s="40"/>
      <c r="M257" s="40"/>
      <c r="N257" s="66" t="str">
        <f>IF((D257&lt;=D256)*AND(E257&lt;=E256)*AND(F257&lt;=F256)*AND(G257&lt;=G256)*AND(H257&lt;=H256)*AND(I257&lt;=I256)*AND(K257&lt;=K256)*AND(L257&lt;=L256)*AND(M257&lt;=M256)*AND(J257&lt;=J256),"Выполнено","ПРОВЕРИТЬ - эта подстрока не может быть больше 11.9)")</f>
        <v>Выполнено</v>
      </c>
      <c r="O257" s="33"/>
      <c r="P257" s="73"/>
    </row>
    <row r="258" spans="2:16" s="24" customFormat="1">
      <c r="B258" s="143" t="s">
        <v>574</v>
      </c>
      <c r="C258" s="117" t="s">
        <v>481</v>
      </c>
      <c r="D258" s="104">
        <f t="shared" si="47"/>
        <v>0</v>
      </c>
      <c r="E258" s="40"/>
      <c r="F258" s="40"/>
      <c r="G258" s="40"/>
      <c r="H258" s="40"/>
      <c r="I258" s="40"/>
      <c r="J258" s="40"/>
      <c r="K258" s="40"/>
      <c r="L258" s="40"/>
      <c r="M258" s="40"/>
      <c r="N258" s="66" t="str">
        <f>IF((D258&lt;=D256)*AND(E258&lt;=E256)*AND(F258&lt;=F256)*AND(G258&lt;=G256)*AND(H258&lt;=H256)*AND(I258&lt;=I256)*AND(K258&lt;=K256)*AND(L258&lt;=L256)*AND(M258&lt;=M256)*AND(J258&lt;=J256),"Выполнено","ПРОВЕРИТЬ - эта подстрока не может быть больше 11.9)")</f>
        <v>Выполнено</v>
      </c>
      <c r="O258" s="33"/>
      <c r="P258" s="73"/>
    </row>
    <row r="259" spans="2:16" s="24" customFormat="1">
      <c r="B259" s="143" t="s">
        <v>697</v>
      </c>
      <c r="C259" s="117" t="s">
        <v>482</v>
      </c>
      <c r="D259" s="104">
        <f t="shared" si="47"/>
        <v>0</v>
      </c>
      <c r="E259" s="40"/>
      <c r="F259" s="40"/>
      <c r="G259" s="40"/>
      <c r="H259" s="40"/>
      <c r="I259" s="40"/>
      <c r="J259" s="40"/>
      <c r="K259" s="40"/>
      <c r="L259" s="40"/>
      <c r="M259" s="40"/>
      <c r="N259" s="66" t="str">
        <f>IF((D259&lt;=D256)*AND(E259&lt;=E256)*AND(F259&lt;=F256)*AND(G259&lt;=G256)*AND(H259&lt;=H256)*AND(I259&lt;=I256)*AND(K259&lt;=K256)*AND(L259&lt;=L256)*AND(M259&lt;=M256)*AND(J259&lt;=J256),"Выполнено","ПРОВЕРИТЬ - эта подстрока не может быть больше 11.9)")</f>
        <v>Выполнено</v>
      </c>
      <c r="O259" s="33"/>
      <c r="P259" s="73"/>
    </row>
    <row r="260" spans="2:16" s="24" customFormat="1" ht="30">
      <c r="B260" s="143" t="s">
        <v>698</v>
      </c>
      <c r="C260" s="117" t="s">
        <v>1112</v>
      </c>
      <c r="D260" s="104">
        <f t="shared" si="47"/>
        <v>0</v>
      </c>
      <c r="E260" s="40"/>
      <c r="F260" s="40"/>
      <c r="G260" s="40"/>
      <c r="H260" s="40"/>
      <c r="I260" s="40"/>
      <c r="J260" s="40"/>
      <c r="K260" s="40"/>
      <c r="L260" s="40"/>
      <c r="M260" s="40"/>
      <c r="N260" s="66" t="str">
        <f>IF((D260&lt;=D256)*AND(E260&lt;=E256)*AND(F260&lt;=F256)*AND(G260&lt;=G256)*AND(H260&lt;=H256)*AND(I260&lt;=I256)*AND(K260&lt;=K256)*AND(L260&lt;=L256)*AND(M260&lt;=M256)*AND(J260&lt;=J256),"Выполнено","ПРОВЕРИТЬ - эта подстрока не может быть больше 11.9)")</f>
        <v>Выполнено</v>
      </c>
      <c r="O260" s="33"/>
      <c r="P260" s="73"/>
    </row>
    <row r="261" spans="2:16" s="105" customFormat="1">
      <c r="B261" s="143" t="s">
        <v>699</v>
      </c>
      <c r="C261" s="117" t="s">
        <v>1113</v>
      </c>
      <c r="D261" s="104">
        <f t="shared" si="47"/>
        <v>0</v>
      </c>
      <c r="E261" s="40"/>
      <c r="F261" s="40"/>
      <c r="G261" s="40"/>
      <c r="H261" s="40"/>
      <c r="I261" s="40"/>
      <c r="J261" s="40"/>
      <c r="K261" s="40"/>
      <c r="L261" s="40"/>
      <c r="M261" s="40"/>
      <c r="N261" s="66" t="str">
        <f>IF((D261&lt;=D256)*AND(E261&lt;=E256)*AND(F261&lt;=F256)*AND(G261&lt;=G256)*AND(H261&lt;=H256)*AND(I261&lt;=I256)*AND(K261&lt;=K256)*AND(L261&lt;=L256)*AND(M261&lt;=M256)*AND(J261&lt;=J256),"Выполнено","ПРОВЕРИТЬ - эта подстрока не может быть больше 11.9)")</f>
        <v>Выполнено</v>
      </c>
      <c r="O261" s="107"/>
      <c r="P261" s="109"/>
    </row>
    <row r="262" spans="2:16" s="24" customFormat="1">
      <c r="B262" s="144" t="s">
        <v>1114</v>
      </c>
      <c r="C262" s="145" t="s">
        <v>483</v>
      </c>
      <c r="D262" s="104">
        <f t="shared" si="47"/>
        <v>0</v>
      </c>
      <c r="E262" s="38"/>
      <c r="F262" s="38"/>
      <c r="G262" s="38"/>
      <c r="H262" s="38"/>
      <c r="I262" s="38"/>
      <c r="J262" s="38"/>
      <c r="K262" s="38"/>
      <c r="L262" s="38"/>
      <c r="M262" s="38"/>
      <c r="N262" s="66" t="str">
        <f>IF((D262&lt;=D256)*AND(E262&lt;=E256)*AND(F262&lt;=F256)*AND(G262&lt;=G256)*AND(H262&lt;=H256)*AND(I262&lt;=I256)*AND(K262&lt;=K256)*AND(L262&lt;=L256)*AND(M262&lt;=M256)*AND(J262&lt;=J256),"Выполнено","ПРОВЕРИТЬ - эта подстрока не может быть больше 11.9)")</f>
        <v>Выполнено</v>
      </c>
      <c r="O262" s="80" t="str">
        <f>IF(((D262=0)),"   ","Нужно заполнить пункт 34 текстовой части - о политическом представительстве малых партий")</f>
        <v xml:space="preserve">   </v>
      </c>
      <c r="P262" s="73"/>
    </row>
    <row r="263" spans="2:16" s="24" customFormat="1" ht="45">
      <c r="B263" s="143" t="s">
        <v>700</v>
      </c>
      <c r="C263" s="117" t="s">
        <v>198</v>
      </c>
      <c r="D263" s="104">
        <f t="shared" si="47"/>
        <v>1</v>
      </c>
      <c r="E263" s="41">
        <f t="shared" ref="E263" si="50">SUM(E264:E266)</f>
        <v>0</v>
      </c>
      <c r="F263" s="41">
        <f t="shared" ref="F263" si="51">SUM(F264:F266)</f>
        <v>0</v>
      </c>
      <c r="G263" s="41">
        <f t="shared" ref="G263" si="52">SUM(G264:G266)</f>
        <v>1</v>
      </c>
      <c r="H263" s="41">
        <f t="shared" ref="H263:I263" si="53">SUM(H264:H266)</f>
        <v>0</v>
      </c>
      <c r="I263" s="41">
        <f t="shared" si="53"/>
        <v>0</v>
      </c>
      <c r="J263" s="41">
        <f t="shared" ref="J263" si="54">SUM(J264:J266)</f>
        <v>0</v>
      </c>
      <c r="K263" s="41">
        <f t="shared" ref="K263" si="55">SUM(K264:K266)</f>
        <v>0</v>
      </c>
      <c r="L263" s="41">
        <f t="shared" ref="L263" si="56">SUM(L264:L266)</f>
        <v>0</v>
      </c>
      <c r="M263" s="41">
        <f t="shared" ref="M263" si="57">SUM(M264:M266)</f>
        <v>0</v>
      </c>
      <c r="N263" s="66" t="str">
        <f>IF((D263=D226)*AND(E263=E226)*AND(F263=F226)*AND(G263=G226)*AND(H263=H226)*AND(I263=I226)*AND(K263=K226)*AND(L263=L226)*AND(M263=M226)*AND(J263=J226),"Выполнено","ПРОВЕРИТЬ (в сумме должно получиться общее число действующих представительных органов)")</f>
        <v>Выполнено</v>
      </c>
      <c r="O263" s="107"/>
      <c r="P263" s="73"/>
    </row>
    <row r="264" spans="2:16" s="24" customFormat="1" ht="30">
      <c r="B264" s="143" t="s">
        <v>701</v>
      </c>
      <c r="C264" s="117" t="s">
        <v>80</v>
      </c>
      <c r="D264" s="104">
        <f t="shared" si="47"/>
        <v>1</v>
      </c>
      <c r="E264" s="42"/>
      <c r="F264" s="42"/>
      <c r="G264" s="42">
        <v>1</v>
      </c>
      <c r="H264" s="42"/>
      <c r="I264" s="42"/>
      <c r="J264" s="40"/>
      <c r="K264" s="42"/>
      <c r="L264" s="42"/>
      <c r="M264" s="42"/>
      <c r="N264" s="33"/>
      <c r="O264" s="33"/>
      <c r="P264" s="73"/>
    </row>
    <row r="265" spans="2:16" s="24" customFormat="1" ht="30">
      <c r="B265" s="143" t="s">
        <v>702</v>
      </c>
      <c r="C265" s="117" t="s">
        <v>81</v>
      </c>
      <c r="D265" s="104">
        <f t="shared" si="47"/>
        <v>0</v>
      </c>
      <c r="E265" s="42"/>
      <c r="F265" s="42"/>
      <c r="G265" s="42"/>
      <c r="H265" s="42"/>
      <c r="I265" s="42"/>
      <c r="J265" s="40"/>
      <c r="K265" s="42"/>
      <c r="L265" s="42"/>
      <c r="M265" s="42"/>
      <c r="N265" s="33"/>
      <c r="O265" s="33"/>
      <c r="P265" s="73"/>
    </row>
    <row r="266" spans="2:16" s="24" customFormat="1" ht="30">
      <c r="B266" s="144" t="s">
        <v>1116</v>
      </c>
      <c r="C266" s="145" t="s">
        <v>82</v>
      </c>
      <c r="D266" s="104">
        <f t="shared" si="47"/>
        <v>0</v>
      </c>
      <c r="E266" s="38"/>
      <c r="F266" s="38"/>
      <c r="G266" s="38"/>
      <c r="H266" s="38"/>
      <c r="I266" s="38"/>
      <c r="J266" s="38"/>
      <c r="K266" s="38"/>
      <c r="L266" s="38"/>
      <c r="M266" s="38"/>
      <c r="N266" s="33"/>
      <c r="O266" s="80" t="str">
        <f>IF(((D266=0)),"   ","Нужно заполнить пункт 35 текстовой части - о представительных органах в неправомочном составе")</f>
        <v xml:space="preserve">   </v>
      </c>
      <c r="P266" s="73"/>
    </row>
    <row r="267" spans="2:16" s="24" customFormat="1" ht="45">
      <c r="B267" s="143" t="s">
        <v>575</v>
      </c>
      <c r="C267" s="117" t="s">
        <v>197</v>
      </c>
      <c r="D267" s="104">
        <f t="shared" si="47"/>
        <v>0</v>
      </c>
      <c r="E267" s="41">
        <f>SUM(E269:E270)</f>
        <v>0</v>
      </c>
      <c r="F267" s="41">
        <f t="shared" ref="F267:G267" si="58">SUM(F268:F270)</f>
        <v>0</v>
      </c>
      <c r="G267" s="41">
        <f t="shared" si="58"/>
        <v>0</v>
      </c>
      <c r="H267" s="41">
        <f t="shared" ref="H267:M267" si="59">SUM(H269:H270)</f>
        <v>0</v>
      </c>
      <c r="I267" s="41">
        <f t="shared" si="59"/>
        <v>0</v>
      </c>
      <c r="J267" s="41">
        <f t="shared" si="59"/>
        <v>0</v>
      </c>
      <c r="K267" s="41">
        <f t="shared" si="59"/>
        <v>0</v>
      </c>
      <c r="L267" s="41">
        <f t="shared" si="59"/>
        <v>0</v>
      </c>
      <c r="M267" s="41">
        <f t="shared" si="59"/>
        <v>0</v>
      </c>
      <c r="N267" s="33"/>
      <c r="O267" s="33"/>
      <c r="P267" s="73"/>
    </row>
    <row r="268" spans="2:16" s="24" customFormat="1" ht="30">
      <c r="B268" s="144" t="s">
        <v>1117</v>
      </c>
      <c r="C268" s="145" t="s">
        <v>294</v>
      </c>
      <c r="D268" s="121">
        <f t="shared" ref="D268" si="60">F268+G268</f>
        <v>0</v>
      </c>
      <c r="E268" s="41"/>
      <c r="F268" s="38"/>
      <c r="G268" s="38"/>
      <c r="H268" s="57"/>
      <c r="I268" s="39"/>
      <c r="J268" s="39"/>
      <c r="K268" s="39"/>
      <c r="L268" s="39"/>
      <c r="M268" s="39"/>
      <c r="N268" s="80" t="str">
        <f>IF((F268&lt;=F$10)*AND(G268&lt;=G$10),"Выполнено","ПРОВЕРИТЬ (таких поселений не может быть больше чем всех поселений)")</f>
        <v>Выполнено</v>
      </c>
      <c r="O268" s="80" t="str">
        <f>IF(((D268=0)),"   ","Нужно заполнить пункт 31 текстовой части - о малочисленных поселениях без представительных органов")</f>
        <v xml:space="preserve">   </v>
      </c>
      <c r="P268" s="73"/>
    </row>
    <row r="269" spans="2:16" s="24" customFormat="1" ht="45">
      <c r="B269" s="144" t="s">
        <v>1118</v>
      </c>
      <c r="C269" s="145" t="s">
        <v>295</v>
      </c>
      <c r="D269" s="104">
        <f t="shared" si="47"/>
        <v>0</v>
      </c>
      <c r="E269" s="38"/>
      <c r="F269" s="38"/>
      <c r="G269" s="38"/>
      <c r="H269" s="38"/>
      <c r="I269" s="38"/>
      <c r="J269" s="38"/>
      <c r="K269" s="38"/>
      <c r="L269" s="38"/>
      <c r="M269" s="38"/>
      <c r="N269" s="33"/>
      <c r="O269" s="80" t="str">
        <f>IF(((D269=0)),"   ","Нужно заполнить пункт 36 текстовой части - о распущенных представительных органах")</f>
        <v xml:space="preserve">   </v>
      </c>
      <c r="P269" s="73"/>
    </row>
    <row r="270" spans="2:16" s="24" customFormat="1" ht="60">
      <c r="B270" s="144" t="s">
        <v>703</v>
      </c>
      <c r="C270" s="145" t="s">
        <v>296</v>
      </c>
      <c r="D270" s="104">
        <f t="shared" si="47"/>
        <v>0</v>
      </c>
      <c r="E270" s="38"/>
      <c r="F270" s="38"/>
      <c r="G270" s="38"/>
      <c r="H270" s="38"/>
      <c r="I270" s="38"/>
      <c r="J270" s="38"/>
      <c r="K270" s="38"/>
      <c r="L270" s="38"/>
      <c r="M270" s="38"/>
      <c r="N270" s="33"/>
      <c r="O270" s="80" t="str">
        <f>IF(((D270=0)),"   ","Нужно заполнить пункт 37 текстовой части - о представительных органах в процессе преобразования")</f>
        <v xml:space="preserve">   </v>
      </c>
      <c r="P270" s="73"/>
    </row>
    <row r="271" spans="2:16" s="24" customFormat="1" ht="60">
      <c r="B271" s="144" t="s">
        <v>1119</v>
      </c>
      <c r="C271" s="145" t="s">
        <v>637</v>
      </c>
      <c r="D271" s="104">
        <f t="shared" si="47"/>
        <v>0</v>
      </c>
      <c r="E271" s="38"/>
      <c r="F271" s="38"/>
      <c r="G271" s="38"/>
      <c r="H271" s="38"/>
      <c r="I271" s="38"/>
      <c r="J271" s="38"/>
      <c r="K271" s="38"/>
      <c r="L271" s="38"/>
      <c r="M271" s="38"/>
      <c r="N271" s="33"/>
      <c r="O271" s="80" t="str">
        <f>IF(((D271=0)),"   ","Нужно заполнить пункт 37 текстовой части - о представительных органах в процессе преобразования")</f>
        <v xml:space="preserve">   </v>
      </c>
      <c r="P271" s="73"/>
    </row>
    <row r="272" spans="2:16" s="24" customFormat="1" ht="30">
      <c r="B272" s="143" t="s">
        <v>1120</v>
      </c>
      <c r="C272" s="117" t="s">
        <v>1215</v>
      </c>
      <c r="D272" s="104">
        <f t="shared" si="47"/>
        <v>0</v>
      </c>
      <c r="E272" s="42"/>
      <c r="F272" s="42"/>
      <c r="G272" s="42"/>
      <c r="H272" s="42"/>
      <c r="I272" s="42"/>
      <c r="J272" s="40"/>
      <c r="K272" s="42"/>
      <c r="L272" s="42"/>
      <c r="M272" s="42"/>
      <c r="N272" s="107"/>
      <c r="O272" s="107"/>
      <c r="P272" s="109"/>
    </row>
    <row r="273" spans="2:16" s="105" customFormat="1" ht="30">
      <c r="B273" s="143" t="s">
        <v>1121</v>
      </c>
      <c r="C273" s="117" t="s">
        <v>1122</v>
      </c>
      <c r="D273" s="104">
        <f t="shared" ref="D273:D303" si="61">SUM(E273:I273)+SUM(K273:M273)</f>
        <v>0</v>
      </c>
      <c r="E273" s="42"/>
      <c r="F273" s="42"/>
      <c r="G273" s="42"/>
      <c r="H273" s="42"/>
      <c r="I273" s="42"/>
      <c r="J273" s="40"/>
      <c r="K273" s="42"/>
      <c r="L273" s="42"/>
      <c r="M273" s="42"/>
      <c r="N273" s="107"/>
      <c r="O273" s="107"/>
      <c r="P273" s="109"/>
    </row>
    <row r="274" spans="2:16" s="24" customFormat="1" ht="45">
      <c r="B274" s="141" t="s">
        <v>704</v>
      </c>
      <c r="C274" s="142" t="s">
        <v>599</v>
      </c>
      <c r="D274" s="84"/>
      <c r="E274" s="85"/>
      <c r="F274" s="85"/>
      <c r="G274" s="85"/>
      <c r="H274" s="85"/>
      <c r="I274" s="85"/>
      <c r="J274" s="85"/>
      <c r="K274" s="85"/>
      <c r="L274" s="85"/>
      <c r="M274" s="85"/>
      <c r="N274" s="39"/>
      <c r="O274" s="30"/>
      <c r="P274" s="71"/>
    </row>
    <row r="275" spans="2:16" s="24" customFormat="1" ht="60">
      <c r="B275" s="143" t="s">
        <v>19</v>
      </c>
      <c r="C275" s="147" t="s">
        <v>1299</v>
      </c>
      <c r="D275" s="104">
        <f t="shared" si="61"/>
        <v>7</v>
      </c>
      <c r="E275" s="40"/>
      <c r="F275" s="40"/>
      <c r="G275" s="40">
        <v>7</v>
      </c>
      <c r="H275" s="40"/>
      <c r="I275" s="40"/>
      <c r="J275" s="40"/>
      <c r="K275" s="40"/>
      <c r="L275" s="40"/>
      <c r="M275" s="40"/>
      <c r="N275" s="66" t="str">
        <f>IF((D275&gt;=D227)*AND(E275&gt;=E227)*AND(F275&gt;=F227)*AND(G275&gt;=G227)*AND(H275&gt;=H227)*AND(I275&gt;=I227)*AND(K275&gt;=K227)*AND(L275&gt;=L227)*AND(M275&gt;=M227)*AND(J275&gt;=J227),"Выполнено","ПРОВЕРИТЬ (число депутатов, избранных на выборах, обычно в разы больше числа составов, избранных на выборах)")</f>
        <v>Выполнено</v>
      </c>
      <c r="O275" s="33"/>
      <c r="P275" s="71"/>
    </row>
    <row r="276" spans="2:16" s="24" customFormat="1" ht="60">
      <c r="B276" s="143" t="s">
        <v>340</v>
      </c>
      <c r="C276" s="147" t="s">
        <v>486</v>
      </c>
      <c r="D276" s="104">
        <f t="shared" si="61"/>
        <v>0</v>
      </c>
      <c r="E276" s="41">
        <f>SUM(E277:E283)</f>
        <v>0</v>
      </c>
      <c r="F276" s="41">
        <f t="shared" ref="F276:M276" si="62">SUM(F277:F283)</f>
        <v>0</v>
      </c>
      <c r="G276" s="41">
        <f t="shared" si="62"/>
        <v>0</v>
      </c>
      <c r="H276" s="41">
        <f t="shared" si="62"/>
        <v>0</v>
      </c>
      <c r="I276" s="41">
        <f t="shared" si="62"/>
        <v>0</v>
      </c>
      <c r="J276" s="41">
        <f>SUM(J277:J283)</f>
        <v>0</v>
      </c>
      <c r="K276" s="41">
        <f t="shared" si="62"/>
        <v>0</v>
      </c>
      <c r="L276" s="41">
        <f t="shared" si="62"/>
        <v>0</v>
      </c>
      <c r="M276" s="41">
        <f t="shared" si="62"/>
        <v>0</v>
      </c>
      <c r="N276" s="66" t="str">
        <f>IF((D276&gt;=D228+D230)*AND(E276&gt;=E228+E230)*AND(F276&gt;=F228+F230)*AND(G276&gt;=G228+G230)*AND(H276&gt;=H228+H230)*AND(I276&gt;=I228+I230)*AND(K276&gt;=K228+K230)*AND(L276&gt;=L228+L230)*AND(M276&gt;=M228+M230)*AND(J276&gt;=J228+J230),"Выполнено","ПРОВЕРИТЬ (число депутатов-списочников обычно в разы больше числа составов, избранных с применением списков)")</f>
        <v>Выполнено</v>
      </c>
      <c r="O276" s="107"/>
      <c r="P276" s="71"/>
    </row>
    <row r="277" spans="2:16" s="24" customFormat="1">
      <c r="B277" s="143" t="s">
        <v>341</v>
      </c>
      <c r="C277" s="147" t="s">
        <v>558</v>
      </c>
      <c r="D277" s="104">
        <f t="shared" si="61"/>
        <v>0</v>
      </c>
      <c r="E277" s="40"/>
      <c r="F277" s="40"/>
      <c r="G277" s="40"/>
      <c r="H277" s="40"/>
      <c r="I277" s="40"/>
      <c r="J277" s="40"/>
      <c r="K277" s="40"/>
      <c r="L277" s="40"/>
      <c r="M277" s="40"/>
      <c r="N277" s="33"/>
      <c r="O277" s="33"/>
      <c r="P277" s="71"/>
    </row>
    <row r="278" spans="2:16" s="24" customFormat="1">
      <c r="B278" s="143" t="s">
        <v>705</v>
      </c>
      <c r="C278" s="147" t="s">
        <v>487</v>
      </c>
      <c r="D278" s="104">
        <f t="shared" si="61"/>
        <v>0</v>
      </c>
      <c r="E278" s="40"/>
      <c r="F278" s="40"/>
      <c r="G278" s="40"/>
      <c r="H278" s="40"/>
      <c r="I278" s="40"/>
      <c r="J278" s="40"/>
      <c r="K278" s="40"/>
      <c r="L278" s="40"/>
      <c r="M278" s="40"/>
      <c r="N278" s="33"/>
      <c r="O278" s="33"/>
      <c r="P278" s="71"/>
    </row>
    <row r="279" spans="2:16" s="24" customFormat="1">
      <c r="B279" s="143" t="s">
        <v>706</v>
      </c>
      <c r="C279" s="147" t="s">
        <v>488</v>
      </c>
      <c r="D279" s="104">
        <f t="shared" si="61"/>
        <v>0</v>
      </c>
      <c r="E279" s="40"/>
      <c r="F279" s="40"/>
      <c r="G279" s="40"/>
      <c r="H279" s="40"/>
      <c r="I279" s="40"/>
      <c r="J279" s="40"/>
      <c r="K279" s="40"/>
      <c r="L279" s="40"/>
      <c r="M279" s="40"/>
      <c r="N279" s="33"/>
      <c r="O279" s="33"/>
      <c r="P279" s="74"/>
    </row>
    <row r="280" spans="2:16" s="105" customFormat="1" ht="30">
      <c r="B280" s="143" t="s">
        <v>1124</v>
      </c>
      <c r="C280" s="147" t="s">
        <v>1127</v>
      </c>
      <c r="D280" s="104">
        <f t="shared" si="61"/>
        <v>0</v>
      </c>
      <c r="E280" s="40"/>
      <c r="F280" s="40"/>
      <c r="G280" s="40"/>
      <c r="H280" s="40"/>
      <c r="I280" s="40"/>
      <c r="J280" s="40"/>
      <c r="K280" s="40"/>
      <c r="L280" s="40"/>
      <c r="M280" s="40"/>
      <c r="N280" s="107"/>
      <c r="O280" s="107"/>
      <c r="P280" s="74"/>
    </row>
    <row r="281" spans="2:16" s="24" customFormat="1">
      <c r="B281" s="143" t="s">
        <v>1125</v>
      </c>
      <c r="C281" s="147" t="s">
        <v>1123</v>
      </c>
      <c r="D281" s="104">
        <f t="shared" si="61"/>
        <v>0</v>
      </c>
      <c r="E281" s="40"/>
      <c r="F281" s="40"/>
      <c r="G281" s="40"/>
      <c r="H281" s="40"/>
      <c r="I281" s="40"/>
      <c r="J281" s="40"/>
      <c r="K281" s="40"/>
      <c r="L281" s="40"/>
      <c r="M281" s="40"/>
      <c r="N281" s="33"/>
      <c r="O281" s="33"/>
      <c r="P281" s="71"/>
    </row>
    <row r="282" spans="2:16" s="24" customFormat="1">
      <c r="B282" s="144" t="s">
        <v>707</v>
      </c>
      <c r="C282" s="145" t="s">
        <v>489</v>
      </c>
      <c r="D282" s="104">
        <f t="shared" si="61"/>
        <v>0</v>
      </c>
      <c r="E282" s="38"/>
      <c r="F282" s="38"/>
      <c r="G282" s="38"/>
      <c r="H282" s="38"/>
      <c r="I282" s="38"/>
      <c r="J282" s="38"/>
      <c r="K282" s="38"/>
      <c r="L282" s="38"/>
      <c r="M282" s="38"/>
      <c r="N282" s="33"/>
      <c r="O282" s="80" t="str">
        <f>IF(((D282=0)),"   ","Нужно заполнить пункт 34 текстовой части - о политическом представительстве малых партий и местных избирательных объединений")</f>
        <v xml:space="preserve">   </v>
      </c>
      <c r="P282" s="71"/>
    </row>
    <row r="283" spans="2:16" s="24" customFormat="1" ht="45">
      <c r="B283" s="144" t="s">
        <v>1126</v>
      </c>
      <c r="C283" s="145" t="s">
        <v>490</v>
      </c>
      <c r="D283" s="104">
        <f t="shared" si="61"/>
        <v>0</v>
      </c>
      <c r="E283" s="38"/>
      <c r="F283" s="38"/>
      <c r="G283" s="38"/>
      <c r="H283" s="38"/>
      <c r="I283" s="38"/>
      <c r="J283" s="38"/>
      <c r="K283" s="38"/>
      <c r="L283" s="38"/>
      <c r="M283" s="38"/>
      <c r="N283" s="33"/>
      <c r="O283" s="80" t="str">
        <f>IF(((D283=0)),"   ","Нужно заполнить пункт 34 текстовой части - о политическом представительстве малых партий и местных избирательных объединений")</f>
        <v xml:space="preserve">   </v>
      </c>
      <c r="P283" s="71"/>
    </row>
    <row r="284" spans="2:16" s="24" customFormat="1" ht="45">
      <c r="B284" s="143" t="s">
        <v>20</v>
      </c>
      <c r="C284" s="147" t="s">
        <v>491</v>
      </c>
      <c r="D284" s="104">
        <f t="shared" si="61"/>
        <v>7</v>
      </c>
      <c r="E284" s="41">
        <f>SUM(E285:E292)</f>
        <v>0</v>
      </c>
      <c r="F284" s="41">
        <f t="shared" ref="F284:M284" si="63">SUM(F285:F292)</f>
        <v>0</v>
      </c>
      <c r="G284" s="41">
        <f t="shared" si="63"/>
        <v>7</v>
      </c>
      <c r="H284" s="41">
        <f t="shared" si="63"/>
        <v>0</v>
      </c>
      <c r="I284" s="41">
        <f t="shared" si="63"/>
        <v>0</v>
      </c>
      <c r="J284" s="41">
        <f>SUM(J285:J292)</f>
        <v>0</v>
      </c>
      <c r="K284" s="41">
        <f t="shared" si="63"/>
        <v>0</v>
      </c>
      <c r="L284" s="41">
        <f t="shared" si="63"/>
        <v>0</v>
      </c>
      <c r="M284" s="41">
        <f t="shared" si="63"/>
        <v>0</v>
      </c>
      <c r="N284" s="66" t="str">
        <f>IF((D275=D276+D284)*AND(E275=E276+E284)*AND(F275=F276+F284)*AND(G275=G276+G284)*AND(H275=H276+H284)*AND(I275=I276+I284)*AND(K275=K276+K284)*AND(L275=L276+L284)*AND(M275=M276+M284)*AND(J275=J276+J284),"Выполнено","ПРОВЕРИТЬ (число депутатов должно корректно раскладываться по способам их избрания)")</f>
        <v>Выполнено</v>
      </c>
      <c r="O284" s="107"/>
      <c r="P284" s="71"/>
    </row>
    <row r="285" spans="2:16" s="24" customFormat="1">
      <c r="B285" s="143" t="s">
        <v>342</v>
      </c>
      <c r="C285" s="147" t="s">
        <v>559</v>
      </c>
      <c r="D285" s="104">
        <f t="shared" si="61"/>
        <v>6</v>
      </c>
      <c r="E285" s="40"/>
      <c r="F285" s="40"/>
      <c r="G285" s="40">
        <v>6</v>
      </c>
      <c r="H285" s="40"/>
      <c r="I285" s="40"/>
      <c r="J285" s="40"/>
      <c r="K285" s="40"/>
      <c r="L285" s="40"/>
      <c r="M285" s="40"/>
      <c r="N285" s="33"/>
      <c r="O285" s="33"/>
      <c r="P285" s="71"/>
    </row>
    <row r="286" spans="2:16" s="24" customFormat="1">
      <c r="B286" s="143" t="s">
        <v>708</v>
      </c>
      <c r="C286" s="147" t="s">
        <v>500</v>
      </c>
      <c r="D286" s="104">
        <f t="shared" si="61"/>
        <v>0</v>
      </c>
      <c r="E286" s="40"/>
      <c r="F286" s="40"/>
      <c r="G286" s="40"/>
      <c r="H286" s="40"/>
      <c r="I286" s="40"/>
      <c r="J286" s="40"/>
      <c r="K286" s="40"/>
      <c r="L286" s="40"/>
      <c r="M286" s="40"/>
      <c r="N286" s="33"/>
      <c r="O286" s="33"/>
      <c r="P286" s="71"/>
    </row>
    <row r="287" spans="2:16" s="24" customFormat="1">
      <c r="B287" s="143" t="s">
        <v>384</v>
      </c>
      <c r="C287" s="147" t="s">
        <v>501</v>
      </c>
      <c r="D287" s="104">
        <f t="shared" si="61"/>
        <v>0</v>
      </c>
      <c r="E287" s="40"/>
      <c r="F287" s="40"/>
      <c r="G287" s="40"/>
      <c r="H287" s="40"/>
      <c r="I287" s="40"/>
      <c r="J287" s="40"/>
      <c r="K287" s="40"/>
      <c r="L287" s="40"/>
      <c r="M287" s="40"/>
      <c r="N287" s="33"/>
      <c r="O287" s="33"/>
      <c r="P287" s="73"/>
    </row>
    <row r="288" spans="2:16" s="105" customFormat="1">
      <c r="B288" s="143" t="s">
        <v>1128</v>
      </c>
      <c r="C288" s="147" t="s">
        <v>1129</v>
      </c>
      <c r="D288" s="104">
        <f t="shared" si="61"/>
        <v>0</v>
      </c>
      <c r="E288" s="40"/>
      <c r="F288" s="40"/>
      <c r="G288" s="40"/>
      <c r="H288" s="40"/>
      <c r="I288" s="40"/>
      <c r="J288" s="40"/>
      <c r="K288" s="40"/>
      <c r="L288" s="40"/>
      <c r="M288" s="40"/>
      <c r="N288" s="107"/>
      <c r="O288" s="107"/>
      <c r="P288" s="109"/>
    </row>
    <row r="289" spans="2:16" s="24" customFormat="1">
      <c r="B289" s="143" t="s">
        <v>1131</v>
      </c>
      <c r="C289" s="147" t="s">
        <v>1130</v>
      </c>
      <c r="D289" s="104">
        <f t="shared" si="61"/>
        <v>0</v>
      </c>
      <c r="E289" s="40"/>
      <c r="F289" s="40"/>
      <c r="G289" s="40"/>
      <c r="H289" s="40"/>
      <c r="I289" s="40"/>
      <c r="J289" s="40"/>
      <c r="K289" s="40"/>
      <c r="L289" s="40"/>
      <c r="M289" s="40"/>
      <c r="N289" s="33"/>
      <c r="O289" s="33"/>
      <c r="P289" s="71"/>
    </row>
    <row r="290" spans="2:16" s="24" customFormat="1">
      <c r="B290" s="144" t="s">
        <v>1132</v>
      </c>
      <c r="C290" s="145" t="s">
        <v>502</v>
      </c>
      <c r="D290" s="104">
        <f t="shared" si="61"/>
        <v>0</v>
      </c>
      <c r="E290" s="38"/>
      <c r="F290" s="38"/>
      <c r="G290" s="38"/>
      <c r="H290" s="38"/>
      <c r="I290" s="38"/>
      <c r="J290" s="38"/>
      <c r="K290" s="38"/>
      <c r="L290" s="38"/>
      <c r="M290" s="38"/>
      <c r="N290" s="33"/>
      <c r="O290" s="80" t="str">
        <f>IF(((D290=0)),"   ","Нужно заполнить пункт 34 текстовой части - о политическом представительстве малых партий")</f>
        <v xml:space="preserve">   </v>
      </c>
      <c r="P290" s="71"/>
    </row>
    <row r="291" spans="2:16" s="24" customFormat="1" ht="45">
      <c r="B291" s="144" t="s">
        <v>1133</v>
      </c>
      <c r="C291" s="145" t="s">
        <v>492</v>
      </c>
      <c r="D291" s="104">
        <f t="shared" si="61"/>
        <v>0</v>
      </c>
      <c r="E291" s="38"/>
      <c r="F291" s="38"/>
      <c r="G291" s="38"/>
      <c r="H291" s="38"/>
      <c r="I291" s="38"/>
      <c r="J291" s="38"/>
      <c r="K291" s="38"/>
      <c r="L291" s="38"/>
      <c r="M291" s="38"/>
      <c r="N291" s="33"/>
      <c r="O291" s="80" t="str">
        <f>IF(((D291=0)),"   ","Нужно заполнить пункт 34 текстовой части - о политическом представительстве малых партий и местных избирательных объединений")</f>
        <v xml:space="preserve">   </v>
      </c>
      <c r="P291" s="71"/>
    </row>
    <row r="292" spans="2:16" s="24" customFormat="1">
      <c r="B292" s="143" t="s">
        <v>1134</v>
      </c>
      <c r="C292" s="147" t="s">
        <v>493</v>
      </c>
      <c r="D292" s="104">
        <f t="shared" si="61"/>
        <v>1</v>
      </c>
      <c r="E292" s="40"/>
      <c r="F292" s="40"/>
      <c r="G292" s="40">
        <v>1</v>
      </c>
      <c r="H292" s="40"/>
      <c r="I292" s="40"/>
      <c r="J292" s="40"/>
      <c r="K292" s="40"/>
      <c r="L292" s="40"/>
      <c r="M292" s="40"/>
      <c r="N292" s="33"/>
      <c r="O292" s="33"/>
      <c r="P292" s="73"/>
    </row>
    <row r="293" spans="2:16" s="24" customFormat="1">
      <c r="B293" s="146" t="s">
        <v>343</v>
      </c>
      <c r="C293" s="147" t="s">
        <v>83</v>
      </c>
      <c r="D293" s="104">
        <f>SUM(E293:I293)+SUM(K293:M293)</f>
        <v>7</v>
      </c>
      <c r="E293" s="41">
        <f t="shared" ref="E293" si="64">E294+E295</f>
        <v>0</v>
      </c>
      <c r="F293" s="41">
        <f t="shared" ref="F293" si="65">F294+F295</f>
        <v>0</v>
      </c>
      <c r="G293" s="41">
        <f t="shared" ref="G293" si="66">G294+G295</f>
        <v>7</v>
      </c>
      <c r="H293" s="41">
        <f t="shared" ref="H293:I293" si="67">H294+H295</f>
        <v>0</v>
      </c>
      <c r="I293" s="41">
        <f t="shared" si="67"/>
        <v>0</v>
      </c>
      <c r="J293" s="41">
        <f t="shared" ref="J293" si="68">J294+J295</f>
        <v>0</v>
      </c>
      <c r="K293" s="41">
        <f t="shared" ref="K293" si="69">K294+K295</f>
        <v>0</v>
      </c>
      <c r="L293" s="41">
        <f t="shared" ref="L293" si="70">L294+L295</f>
        <v>0</v>
      </c>
      <c r="M293" s="41">
        <f t="shared" ref="M293" si="71">M294+M295</f>
        <v>0</v>
      </c>
      <c r="N293" s="66" t="str">
        <f>IF((D293=D275)*AND(E293=E275)*AND(F293=F275)*AND(G293=G275)*AND(H293=H275)*AND(I293=I275)*AND(K293=K275)*AND(L293=L275)*AND(M293=M275)*AND(J293=J275),"Выполнено","ПРОВЕРИТЬ (в сумме должно получиться общее число депутатов, избранных на муниципальных выборах)")</f>
        <v>Выполнено</v>
      </c>
      <c r="O293" s="33"/>
      <c r="P293" s="73"/>
    </row>
    <row r="294" spans="2:16" s="24" customFormat="1">
      <c r="B294" s="146" t="s">
        <v>344</v>
      </c>
      <c r="C294" s="147" t="s">
        <v>84</v>
      </c>
      <c r="D294" s="104">
        <f t="shared" si="61"/>
        <v>0</v>
      </c>
      <c r="E294" s="40"/>
      <c r="F294" s="40"/>
      <c r="G294" s="40"/>
      <c r="H294" s="40"/>
      <c r="I294" s="40"/>
      <c r="J294" s="40"/>
      <c r="K294" s="40"/>
      <c r="L294" s="40"/>
      <c r="M294" s="40"/>
      <c r="N294" s="35"/>
      <c r="O294" s="35"/>
      <c r="P294" s="73"/>
    </row>
    <row r="295" spans="2:16" s="24" customFormat="1">
      <c r="B295" s="146" t="s">
        <v>345</v>
      </c>
      <c r="C295" s="147" t="s">
        <v>85</v>
      </c>
      <c r="D295" s="104">
        <f t="shared" si="61"/>
        <v>7</v>
      </c>
      <c r="E295" s="40"/>
      <c r="F295" s="40"/>
      <c r="G295" s="40">
        <v>7</v>
      </c>
      <c r="H295" s="40"/>
      <c r="I295" s="40"/>
      <c r="J295" s="40"/>
      <c r="K295" s="40"/>
      <c r="L295" s="40"/>
      <c r="M295" s="40"/>
      <c r="N295" s="35"/>
      <c r="O295" s="35"/>
      <c r="P295" s="71"/>
    </row>
    <row r="296" spans="2:16" s="24" customFormat="1">
      <c r="B296" s="146" t="s">
        <v>709</v>
      </c>
      <c r="C296" s="147" t="s">
        <v>494</v>
      </c>
      <c r="D296" s="104">
        <f t="shared" si="61"/>
        <v>7</v>
      </c>
      <c r="E296" s="41">
        <f>E275</f>
        <v>0</v>
      </c>
      <c r="F296" s="41">
        <f t="shared" ref="F296:M296" si="72">F275</f>
        <v>0</v>
      </c>
      <c r="G296" s="41">
        <f t="shared" si="72"/>
        <v>7</v>
      </c>
      <c r="H296" s="41">
        <f t="shared" si="72"/>
        <v>0</v>
      </c>
      <c r="I296" s="41">
        <f t="shared" si="72"/>
        <v>0</v>
      </c>
      <c r="J296" s="41">
        <f>J275</f>
        <v>0</v>
      </c>
      <c r="K296" s="41">
        <f t="shared" si="72"/>
        <v>0</v>
      </c>
      <c r="L296" s="41">
        <f t="shared" si="72"/>
        <v>0</v>
      </c>
      <c r="M296" s="41">
        <f t="shared" si="72"/>
        <v>0</v>
      </c>
      <c r="N296" s="35"/>
      <c r="O296" s="35"/>
      <c r="P296" s="71"/>
    </row>
    <row r="297" spans="2:16" s="105" customFormat="1">
      <c r="B297" s="146" t="s">
        <v>710</v>
      </c>
      <c r="C297" s="147" t="s">
        <v>633</v>
      </c>
      <c r="D297" s="104">
        <f t="shared" si="61"/>
        <v>0</v>
      </c>
      <c r="E297" s="40"/>
      <c r="F297" s="40"/>
      <c r="G297" s="40"/>
      <c r="H297" s="40"/>
      <c r="I297" s="40"/>
      <c r="J297" s="40"/>
      <c r="K297" s="40"/>
      <c r="L297" s="40"/>
      <c r="M297" s="40"/>
      <c r="N297" s="35"/>
      <c r="O297" s="111" t="str">
        <f>IF(((D297&gt;=D277)),"   ","Подсказка - депутаты, избранные по спискам, не могли уйти из фракции")</f>
        <v xml:space="preserve">   </v>
      </c>
      <c r="P297" s="71"/>
    </row>
    <row r="298" spans="2:16" s="105" customFormat="1">
      <c r="B298" s="146" t="s">
        <v>711</v>
      </c>
      <c r="C298" s="147" t="s">
        <v>495</v>
      </c>
      <c r="D298" s="104">
        <f t="shared" si="61"/>
        <v>0</v>
      </c>
      <c r="E298" s="40"/>
      <c r="F298" s="40"/>
      <c r="G298" s="40"/>
      <c r="H298" s="40"/>
      <c r="I298" s="40"/>
      <c r="J298" s="40"/>
      <c r="K298" s="40"/>
      <c r="L298" s="40"/>
      <c r="M298" s="40"/>
      <c r="N298" s="35"/>
      <c r="O298" s="111" t="str">
        <f>IF(((D298&gt;=D278)),"   ","Подсказка - депутаты, избранные по спискам, не могли уйти из фракции")</f>
        <v xml:space="preserve">   </v>
      </c>
      <c r="P298" s="71"/>
    </row>
    <row r="299" spans="2:16" s="105" customFormat="1">
      <c r="B299" s="146" t="s">
        <v>712</v>
      </c>
      <c r="C299" s="147" t="s">
        <v>496</v>
      </c>
      <c r="D299" s="104">
        <f t="shared" si="61"/>
        <v>0</v>
      </c>
      <c r="E299" s="40"/>
      <c r="F299" s="40"/>
      <c r="G299" s="40"/>
      <c r="H299" s="40"/>
      <c r="I299" s="40"/>
      <c r="J299" s="40"/>
      <c r="K299" s="40"/>
      <c r="L299" s="40"/>
      <c r="M299" s="40"/>
      <c r="N299" s="35"/>
      <c r="O299" s="111" t="str">
        <f>IF(((D299&gt;=D279)),"   ","Подсказка - депутаты, избранные по спискам, не могли уйти из фракции")</f>
        <v xml:space="preserve">   </v>
      </c>
      <c r="P299" s="71"/>
    </row>
    <row r="300" spans="2:16" s="105" customFormat="1">
      <c r="B300" s="146" t="s">
        <v>713</v>
      </c>
      <c r="C300" s="147" t="s">
        <v>1135</v>
      </c>
      <c r="D300" s="104">
        <f t="shared" si="61"/>
        <v>0</v>
      </c>
      <c r="E300" s="40"/>
      <c r="F300" s="40"/>
      <c r="G300" s="40"/>
      <c r="H300" s="40"/>
      <c r="I300" s="40"/>
      <c r="J300" s="40"/>
      <c r="K300" s="40"/>
      <c r="L300" s="40"/>
      <c r="M300" s="40"/>
      <c r="N300" s="108"/>
      <c r="O300" s="111" t="str">
        <f>IF(((D300&gt;=D280)),"   ","Подсказка - депутаты, избранные по спискам, не могли уйти из фракции")</f>
        <v xml:space="preserve">   </v>
      </c>
      <c r="P300" s="71"/>
    </row>
    <row r="301" spans="2:16" s="105" customFormat="1">
      <c r="B301" s="146" t="s">
        <v>714</v>
      </c>
      <c r="C301" s="147" t="s">
        <v>1136</v>
      </c>
      <c r="D301" s="104">
        <f t="shared" si="61"/>
        <v>0</v>
      </c>
      <c r="E301" s="40"/>
      <c r="F301" s="40"/>
      <c r="G301" s="40"/>
      <c r="H301" s="40"/>
      <c r="I301" s="40"/>
      <c r="J301" s="40"/>
      <c r="K301" s="40"/>
      <c r="L301" s="40"/>
      <c r="M301" s="40"/>
      <c r="N301" s="35"/>
      <c r="O301" s="111" t="str">
        <f>IF(((D301&gt;=D281)),"   ","Подсказка - депутаты, избранные по спискам, не могли уйти из фракции")</f>
        <v xml:space="preserve">   </v>
      </c>
      <c r="P301" s="71"/>
    </row>
    <row r="302" spans="2:16" s="105" customFormat="1">
      <c r="B302" s="146" t="s">
        <v>715</v>
      </c>
      <c r="C302" s="147" t="s">
        <v>497</v>
      </c>
      <c r="D302" s="104">
        <f t="shared" si="61"/>
        <v>0</v>
      </c>
      <c r="E302" s="40"/>
      <c r="F302" s="40"/>
      <c r="G302" s="40"/>
      <c r="H302" s="40"/>
      <c r="I302" s="40"/>
      <c r="J302" s="40"/>
      <c r="K302" s="40"/>
      <c r="L302" s="40"/>
      <c r="M302" s="40"/>
      <c r="N302" s="35"/>
      <c r="O302" s="35"/>
      <c r="P302" s="71"/>
    </row>
    <row r="303" spans="2:16" s="105" customFormat="1">
      <c r="B303" s="146" t="s">
        <v>1137</v>
      </c>
      <c r="C303" s="147" t="s">
        <v>498</v>
      </c>
      <c r="D303" s="104">
        <f t="shared" si="61"/>
        <v>7</v>
      </c>
      <c r="E303" s="41">
        <f>E296-E297-E298-E299-E301-E302</f>
        <v>0</v>
      </c>
      <c r="F303" s="41">
        <f t="shared" ref="F303:M303" si="73">F296-F297-F298-F299-F301-F302</f>
        <v>0</v>
      </c>
      <c r="G303" s="41">
        <f t="shared" si="73"/>
        <v>7</v>
      </c>
      <c r="H303" s="41">
        <f t="shared" si="73"/>
        <v>0</v>
      </c>
      <c r="I303" s="41">
        <f t="shared" si="73"/>
        <v>0</v>
      </c>
      <c r="J303" s="41">
        <f>J296-J297-J298-J299-J301-J302</f>
        <v>0</v>
      </c>
      <c r="K303" s="41">
        <f t="shared" si="73"/>
        <v>0</v>
      </c>
      <c r="L303" s="41">
        <f t="shared" si="73"/>
        <v>0</v>
      </c>
      <c r="M303" s="41">
        <f t="shared" si="73"/>
        <v>0</v>
      </c>
      <c r="N303" s="35"/>
      <c r="O303" s="35"/>
      <c r="P303" s="71"/>
    </row>
    <row r="304" spans="2:16" s="105" customFormat="1" ht="45">
      <c r="B304" s="146" t="s">
        <v>716</v>
      </c>
      <c r="C304" s="147" t="s">
        <v>1294</v>
      </c>
      <c r="D304" s="104">
        <f t="shared" ref="D304" si="74">E304+K304</f>
        <v>0</v>
      </c>
      <c r="E304" s="41">
        <f>SUM(E305:E307)</f>
        <v>0</v>
      </c>
      <c r="F304" s="49"/>
      <c r="G304" s="50"/>
      <c r="H304" s="50"/>
      <c r="I304" s="50"/>
      <c r="J304" s="51"/>
      <c r="K304" s="41">
        <f>SUM(K305:K307)</f>
        <v>0</v>
      </c>
      <c r="L304" s="49"/>
      <c r="M304" s="51"/>
      <c r="N304" s="66" t="str">
        <f>IF((D304&gt;=D231)*AND(E304&gt;=E231)*AND(K304&gt;=K231),"Выполнено","ПРОВЕРИТЬ (число депутатов, избранных по системе делегирования, обычно в разы больше числа составов, избранных по системе делегирования)")</f>
        <v>Выполнено</v>
      </c>
      <c r="O304" s="108"/>
      <c r="P304" s="71"/>
    </row>
    <row r="305" spans="2:16" s="105" customFormat="1">
      <c r="B305" s="146" t="s">
        <v>717</v>
      </c>
      <c r="C305" s="147" t="s">
        <v>90</v>
      </c>
      <c r="D305" s="104">
        <f>E305</f>
        <v>0</v>
      </c>
      <c r="E305" s="42"/>
      <c r="F305" s="43"/>
      <c r="G305" s="54"/>
      <c r="H305" s="54"/>
      <c r="I305" s="54"/>
      <c r="J305" s="45"/>
      <c r="K305" s="52"/>
      <c r="L305" s="43"/>
      <c r="M305" s="45"/>
      <c r="N305" s="35"/>
      <c r="O305" s="35"/>
      <c r="P305" s="71"/>
    </row>
    <row r="306" spans="2:16" s="105" customFormat="1">
      <c r="B306" s="146" t="s">
        <v>718</v>
      </c>
      <c r="C306" s="147" t="s">
        <v>91</v>
      </c>
      <c r="D306" s="104">
        <f>E306</f>
        <v>0</v>
      </c>
      <c r="E306" s="42"/>
      <c r="F306" s="43"/>
      <c r="G306" s="54"/>
      <c r="H306" s="54"/>
      <c r="I306" s="54"/>
      <c r="J306" s="45"/>
      <c r="K306" s="53"/>
      <c r="L306" s="43"/>
      <c r="M306" s="45"/>
      <c r="N306" s="35"/>
      <c r="O306" s="35"/>
      <c r="P306" s="71"/>
    </row>
    <row r="307" spans="2:16" s="105" customFormat="1">
      <c r="B307" s="146" t="s">
        <v>719</v>
      </c>
      <c r="C307" s="147" t="s">
        <v>92</v>
      </c>
      <c r="D307" s="104">
        <f>K307</f>
        <v>0</v>
      </c>
      <c r="E307" s="41"/>
      <c r="F307" s="43"/>
      <c r="G307" s="54"/>
      <c r="H307" s="54"/>
      <c r="I307" s="54"/>
      <c r="J307" s="54"/>
      <c r="K307" s="42"/>
      <c r="L307" s="43"/>
      <c r="M307" s="54"/>
      <c r="N307" s="35"/>
      <c r="O307" s="35"/>
      <c r="P307" s="71"/>
    </row>
    <row r="308" spans="2:16" s="105" customFormat="1">
      <c r="B308" s="146" t="s">
        <v>720</v>
      </c>
      <c r="C308" s="147" t="s">
        <v>83</v>
      </c>
      <c r="D308" s="104">
        <f>E308+K308</f>
        <v>0</v>
      </c>
      <c r="E308" s="41">
        <f t="shared" ref="E308" si="75">E309+E310</f>
        <v>0</v>
      </c>
      <c r="F308" s="43"/>
      <c r="G308" s="54"/>
      <c r="H308" s="54"/>
      <c r="I308" s="54"/>
      <c r="J308" s="54"/>
      <c r="K308" s="41">
        <f t="shared" ref="K308" si="76">K309+K310</f>
        <v>0</v>
      </c>
      <c r="L308" s="43"/>
      <c r="M308" s="54"/>
      <c r="N308" s="66" t="str">
        <f>IF((E308=E304)*AND(K308=K304),"Выполнено","ПРОВЕРИТЬ (в сумме должно получиться общее число депутатов, избранных методом делегирования)")</f>
        <v>Выполнено</v>
      </c>
      <c r="O308" s="33"/>
      <c r="P308" s="71"/>
    </row>
    <row r="309" spans="2:16" s="105" customFormat="1">
      <c r="B309" s="146" t="s">
        <v>721</v>
      </c>
      <c r="C309" s="147" t="s">
        <v>84</v>
      </c>
      <c r="D309" s="104">
        <f>E309+K309</f>
        <v>0</v>
      </c>
      <c r="E309" s="40"/>
      <c r="F309" s="43"/>
      <c r="G309" s="54"/>
      <c r="H309" s="54"/>
      <c r="I309" s="54"/>
      <c r="J309" s="54"/>
      <c r="K309" s="40"/>
      <c r="L309" s="43"/>
      <c r="M309" s="45"/>
      <c r="N309" s="35"/>
      <c r="O309" s="33"/>
      <c r="P309" s="71"/>
    </row>
    <row r="310" spans="2:16" s="105" customFormat="1">
      <c r="B310" s="146" t="s">
        <v>722</v>
      </c>
      <c r="C310" s="147" t="s">
        <v>85</v>
      </c>
      <c r="D310" s="104">
        <f>E310+K310</f>
        <v>0</v>
      </c>
      <c r="E310" s="40"/>
      <c r="F310" s="46"/>
      <c r="G310" s="54"/>
      <c r="H310" s="54"/>
      <c r="I310" s="54"/>
      <c r="J310" s="54"/>
      <c r="K310" s="40"/>
      <c r="L310" s="46"/>
      <c r="M310" s="48"/>
      <c r="N310" s="35"/>
      <c r="O310" s="33"/>
      <c r="P310" s="71"/>
    </row>
    <row r="311" spans="2:16" s="105" customFormat="1" ht="30">
      <c r="B311" s="146" t="s">
        <v>471</v>
      </c>
      <c r="C311" s="147" t="s">
        <v>184</v>
      </c>
      <c r="D311" s="3">
        <f t="shared" ref="D311" si="77">SUM(D312:D314)</f>
        <v>0</v>
      </c>
      <c r="E311" s="54"/>
      <c r="F311" s="50"/>
      <c r="G311" s="50"/>
      <c r="H311" s="50"/>
      <c r="I311" s="50"/>
      <c r="J311" s="51"/>
      <c r="K311" s="50"/>
      <c r="L311" s="50"/>
      <c r="M311" s="50"/>
      <c r="N311" s="35"/>
      <c r="O311" s="33"/>
      <c r="P311" s="71"/>
    </row>
    <row r="312" spans="2:16" s="105" customFormat="1">
      <c r="B312" s="146" t="s">
        <v>723</v>
      </c>
      <c r="C312" s="147" t="s">
        <v>93</v>
      </c>
      <c r="D312" s="15"/>
      <c r="E312" s="43"/>
      <c r="F312" s="54"/>
      <c r="G312" s="54"/>
      <c r="H312" s="54"/>
      <c r="I312" s="54"/>
      <c r="J312" s="45"/>
      <c r="K312" s="54"/>
      <c r="L312" s="54"/>
      <c r="M312" s="54"/>
      <c r="N312" s="80" t="str">
        <f>IF((D312&lt;=D305),"Выполнено","ПРОВЕРИТЬ (таких депутатов не может быть больше чем депутатов, избранных делегированным способом от городских поселений)")</f>
        <v>Выполнено</v>
      </c>
      <c r="O312" s="33"/>
      <c r="P312" s="71"/>
    </row>
    <row r="313" spans="2:16" s="24" customFormat="1">
      <c r="B313" s="146" t="s">
        <v>724</v>
      </c>
      <c r="C313" s="147" t="s">
        <v>94</v>
      </c>
      <c r="D313" s="15"/>
      <c r="E313" s="43"/>
      <c r="F313" s="54"/>
      <c r="G313" s="54"/>
      <c r="H313" s="54"/>
      <c r="I313" s="54"/>
      <c r="J313" s="45"/>
      <c r="K313" s="54"/>
      <c r="L313" s="54"/>
      <c r="M313" s="54"/>
      <c r="N313" s="80" t="str">
        <f>IF((D313&lt;=D306),"Выполнено","ПРОВЕРИТЬ (таких депутатов с двумя мандатами не может быть больше чем депутатов, избранных делегированным способом от сельских поселений)")</f>
        <v>Выполнено</v>
      </c>
      <c r="O313" s="33"/>
      <c r="P313" s="73"/>
    </row>
    <row r="314" spans="2:16" s="24" customFormat="1" ht="30">
      <c r="B314" s="146" t="s">
        <v>725</v>
      </c>
      <c r="C314" s="147" t="s">
        <v>95</v>
      </c>
      <c r="D314" s="15"/>
      <c r="E314" s="46"/>
      <c r="F314" s="47"/>
      <c r="G314" s="47"/>
      <c r="H314" s="47"/>
      <c r="I314" s="47"/>
      <c r="J314" s="48"/>
      <c r="K314" s="47"/>
      <c r="L314" s="47"/>
      <c r="M314" s="47"/>
      <c r="N314" s="80" t="str">
        <f>IF((D314&lt;=D307),"Выполнено","ПРОВЕРИТЬ (таких депутатов с двумя мандатами не может быть больше чем депутатов, избранных делегированным способом от внутригородских районов)")</f>
        <v>Выполнено</v>
      </c>
      <c r="O314" s="33"/>
      <c r="P314" s="71"/>
    </row>
    <row r="315" spans="2:16" s="24" customFormat="1">
      <c r="B315" s="146" t="s">
        <v>726</v>
      </c>
      <c r="C315" s="147" t="s">
        <v>27</v>
      </c>
      <c r="D315" s="104">
        <f t="shared" ref="D315:D350" si="78">SUM(E315:I315)+SUM(K315:M315)</f>
        <v>7</v>
      </c>
      <c r="E315" s="41">
        <f>E275+E304</f>
        <v>0</v>
      </c>
      <c r="F315" s="41">
        <f>F275</f>
        <v>0</v>
      </c>
      <c r="G315" s="41">
        <f>G275</f>
        <v>7</v>
      </c>
      <c r="H315" s="41">
        <f>H275</f>
        <v>0</v>
      </c>
      <c r="I315" s="41">
        <f>I275</f>
        <v>0</v>
      </c>
      <c r="J315" s="41">
        <f>J275</f>
        <v>0</v>
      </c>
      <c r="K315" s="41">
        <f>K275+K304</f>
        <v>0</v>
      </c>
      <c r="L315" s="41">
        <f>L275</f>
        <v>0</v>
      </c>
      <c r="M315" s="41">
        <f>M275</f>
        <v>0</v>
      </c>
      <c r="N315" s="35"/>
      <c r="O315" s="35"/>
      <c r="P315" s="71"/>
    </row>
    <row r="316" spans="2:16" s="24" customFormat="1" ht="45">
      <c r="B316" s="146" t="s">
        <v>381</v>
      </c>
      <c r="C316" s="147" t="s">
        <v>499</v>
      </c>
      <c r="D316" s="2">
        <f>D315-D311</f>
        <v>7</v>
      </c>
      <c r="E316" s="57"/>
      <c r="F316" s="39"/>
      <c r="G316" s="39"/>
      <c r="H316" s="39"/>
      <c r="I316" s="39"/>
      <c r="J316" s="58"/>
      <c r="K316" s="39"/>
      <c r="L316" s="39"/>
      <c r="M316" s="39"/>
      <c r="N316" s="35"/>
      <c r="O316" s="35"/>
      <c r="P316" s="74"/>
    </row>
    <row r="317" spans="2:16" s="24" customFormat="1" ht="45">
      <c r="B317" s="143" t="s">
        <v>727</v>
      </c>
      <c r="C317" s="147" t="s">
        <v>1205</v>
      </c>
      <c r="D317" s="104">
        <f t="shared" si="78"/>
        <v>0</v>
      </c>
      <c r="E317" s="40"/>
      <c r="F317" s="40"/>
      <c r="G317" s="40"/>
      <c r="H317" s="40"/>
      <c r="I317" s="40"/>
      <c r="J317" s="40"/>
      <c r="K317" s="40"/>
      <c r="L317" s="40"/>
      <c r="M317" s="40"/>
      <c r="N317" s="66" t="str">
        <f>IF((D317&gt;=(D265+D266))*AND(E317&gt;=(E265+E266))*AND(F317&gt;=(F265+F266))*AND(G317&gt;=(G265+G266))*AND(H317&gt;=(H265+H266))*AND(I317&gt;=(I265+I266))*AND(K317&gt;=(K265+K266))*AND(L317&gt;=(L265+L266))*AND(M317&gt;=(M265+M266))*AND(J317&gt;=(J265+J266)),"Выполнено","ПРОВЕРИТЬ (вакантных мандатов не может быть меньше чем не укомплектованных составов)
)")</f>
        <v>Выполнено</v>
      </c>
      <c r="O317" s="35"/>
      <c r="P317" s="71"/>
    </row>
    <row r="318" spans="2:16" s="105" customFormat="1" ht="60">
      <c r="B318" s="143" t="s">
        <v>403</v>
      </c>
      <c r="C318" s="147" t="s">
        <v>591</v>
      </c>
      <c r="D318" s="104">
        <f t="shared" si="78"/>
        <v>7</v>
      </c>
      <c r="E318" s="41">
        <f>E315+E317</f>
        <v>0</v>
      </c>
      <c r="F318" s="41">
        <f t="shared" ref="F318:M318" si="79">F315+F317</f>
        <v>0</v>
      </c>
      <c r="G318" s="41">
        <f t="shared" si="79"/>
        <v>7</v>
      </c>
      <c r="H318" s="41">
        <f t="shared" si="79"/>
        <v>0</v>
      </c>
      <c r="I318" s="41">
        <f t="shared" si="79"/>
        <v>0</v>
      </c>
      <c r="J318" s="41">
        <f>J315+J317</f>
        <v>0</v>
      </c>
      <c r="K318" s="41">
        <f t="shared" si="79"/>
        <v>0</v>
      </c>
      <c r="L318" s="41">
        <f t="shared" si="79"/>
        <v>0</v>
      </c>
      <c r="M318" s="41">
        <f t="shared" si="79"/>
        <v>0</v>
      </c>
      <c r="N318" s="108"/>
      <c r="O318" s="108"/>
      <c r="P318" s="71"/>
    </row>
    <row r="319" spans="2:16" s="105" customFormat="1" ht="45">
      <c r="B319" s="143" t="s">
        <v>728</v>
      </c>
      <c r="C319" s="147" t="s">
        <v>607</v>
      </c>
      <c r="D319" s="104">
        <f t="shared" si="78"/>
        <v>0</v>
      </c>
      <c r="E319" s="40"/>
      <c r="F319" s="40"/>
      <c r="G319" s="40"/>
      <c r="H319" s="40"/>
      <c r="I319" s="40"/>
      <c r="J319" s="40"/>
      <c r="K319" s="40"/>
      <c r="L319" s="40"/>
      <c r="M319" s="40"/>
      <c r="N319" s="66" t="str">
        <f>IF((D319&gt;=(D269+D270))*AND(E319&gt;=(E269+E270))*AND(F319&gt;=(F269+F270))*AND(G319&gt;=(G269+G270))*AND(H319&gt;=(H269+H270))*AND(I319&gt;=(I269+I270))*AND(K319&gt;=(K269+K270))*AND(L319&gt;=(L269+L270))*AND(M319&gt;=(M269+M270))*AND(J319&gt;=(J269+J270)),"Выполнено","ПРОВЕРИТЬ (вакантных мандатов в таких составах не может быть меньше чем самих составов)
)")</f>
        <v>Выполнено</v>
      </c>
      <c r="O319" s="35"/>
      <c r="P319" s="71"/>
    </row>
    <row r="320" spans="2:16" s="105" customFormat="1" ht="60">
      <c r="B320" s="143" t="s">
        <v>572</v>
      </c>
      <c r="C320" s="117" t="s">
        <v>636</v>
      </c>
      <c r="D320" s="104">
        <f t="shared" si="78"/>
        <v>0</v>
      </c>
      <c r="E320" s="40"/>
      <c r="F320" s="40"/>
      <c r="G320" s="40"/>
      <c r="H320" s="40"/>
      <c r="I320" s="40"/>
      <c r="J320" s="40"/>
      <c r="K320" s="40"/>
      <c r="L320" s="40"/>
      <c r="M320" s="40"/>
      <c r="N320" s="66" t="str">
        <f>IF((D320&gt;=D271)*AND(E320&gt;=E271)*AND(F320&gt;=F271)*AND(G320&gt;=G271)*AND(H320&gt;=H271)*AND(I320&gt;=I271)*AND(K320&gt;=K271)*AND(L320&gt;=L271)*AND(M320&gt;=M271)*AND(J320&gt;=J271),"Выполнено","ПРОВЕРИТЬ (число таких депутатов не может быть меньше числа соответствующих составов)
)")</f>
        <v>Выполнено</v>
      </c>
      <c r="O320" s="108"/>
      <c r="P320" s="71"/>
    </row>
    <row r="321" spans="2:16" s="105" customFormat="1">
      <c r="B321" s="151" t="s">
        <v>729</v>
      </c>
      <c r="C321" s="129" t="s">
        <v>16</v>
      </c>
      <c r="D321" s="84"/>
      <c r="E321" s="85"/>
      <c r="F321" s="85"/>
      <c r="G321" s="85"/>
      <c r="H321" s="85"/>
      <c r="I321" s="85"/>
      <c r="J321" s="85"/>
      <c r="K321" s="85"/>
      <c r="L321" s="85"/>
      <c r="M321" s="85"/>
      <c r="N321" s="39"/>
      <c r="O321" s="30"/>
      <c r="P321" s="71"/>
    </row>
    <row r="322" spans="2:16" s="105" customFormat="1" ht="60">
      <c r="B322" s="144" t="s">
        <v>351</v>
      </c>
      <c r="C322" s="145" t="s">
        <v>628</v>
      </c>
      <c r="D322" s="104">
        <f t="shared" si="78"/>
        <v>0</v>
      </c>
      <c r="E322" s="41">
        <f t="shared" ref="E322:M322" si="80">SUM(E323:E326)</f>
        <v>0</v>
      </c>
      <c r="F322" s="41">
        <f t="shared" si="80"/>
        <v>0</v>
      </c>
      <c r="G322" s="41">
        <f t="shared" si="80"/>
        <v>0</v>
      </c>
      <c r="H322" s="41">
        <f t="shared" si="80"/>
        <v>0</v>
      </c>
      <c r="I322" s="41">
        <f t="shared" si="80"/>
        <v>0</v>
      </c>
      <c r="J322" s="41">
        <f>SUM(J323:J326)</f>
        <v>0</v>
      </c>
      <c r="K322" s="41">
        <f t="shared" si="80"/>
        <v>0</v>
      </c>
      <c r="L322" s="41">
        <f t="shared" si="80"/>
        <v>0</v>
      </c>
      <c r="M322" s="41">
        <f t="shared" si="80"/>
        <v>0</v>
      </c>
      <c r="N322" s="167" t="s">
        <v>1306</v>
      </c>
      <c r="O322" s="80" t="str">
        <f>IF(((D322=0)),"   ","Нужно заполнить пункт 38 текстовой части - о способах избрания и полномочиях глав муниципальных образований")</f>
        <v xml:space="preserve">   </v>
      </c>
      <c r="P322" s="71"/>
    </row>
    <row r="323" spans="2:16" s="105" customFormat="1">
      <c r="B323" s="144" t="s">
        <v>346</v>
      </c>
      <c r="C323" s="145" t="s">
        <v>218</v>
      </c>
      <c r="D323" s="104">
        <f t="shared" si="78"/>
        <v>0</v>
      </c>
      <c r="E323" s="38"/>
      <c r="F323" s="38"/>
      <c r="G323" s="38"/>
      <c r="H323" s="38"/>
      <c r="I323" s="38"/>
      <c r="J323" s="38"/>
      <c r="K323" s="38"/>
      <c r="L323" s="38"/>
      <c r="M323" s="38"/>
      <c r="N323" s="35"/>
      <c r="O323" s="35"/>
      <c r="P323" s="71"/>
    </row>
    <row r="324" spans="2:16" s="105" customFormat="1" ht="30">
      <c r="B324" s="144" t="s">
        <v>347</v>
      </c>
      <c r="C324" s="145" t="s">
        <v>219</v>
      </c>
      <c r="D324" s="104">
        <f t="shared" si="78"/>
        <v>0</v>
      </c>
      <c r="E324" s="38"/>
      <c r="F324" s="38"/>
      <c r="G324" s="38"/>
      <c r="H324" s="38"/>
      <c r="I324" s="38"/>
      <c r="J324" s="38"/>
      <c r="K324" s="38"/>
      <c r="L324" s="38"/>
      <c r="M324" s="38"/>
      <c r="N324" s="35"/>
      <c r="O324" s="35"/>
      <c r="P324" s="71"/>
    </row>
    <row r="325" spans="2:16" s="105" customFormat="1" ht="30">
      <c r="B325" s="144" t="s">
        <v>730</v>
      </c>
      <c r="C325" s="145" t="s">
        <v>220</v>
      </c>
      <c r="D325" s="104">
        <f t="shared" si="78"/>
        <v>0</v>
      </c>
      <c r="E325" s="38"/>
      <c r="F325" s="38"/>
      <c r="G325" s="38"/>
      <c r="H325" s="38"/>
      <c r="I325" s="38"/>
      <c r="J325" s="38"/>
      <c r="K325" s="38"/>
      <c r="L325" s="38"/>
      <c r="M325" s="38"/>
      <c r="N325" s="35"/>
      <c r="O325" s="35"/>
      <c r="P325" s="71"/>
    </row>
    <row r="326" spans="2:16" s="105" customFormat="1" ht="45">
      <c r="B326" s="144" t="s">
        <v>731</v>
      </c>
      <c r="C326" s="145" t="s">
        <v>298</v>
      </c>
      <c r="D326" s="104">
        <f t="shared" si="78"/>
        <v>0</v>
      </c>
      <c r="E326" s="38"/>
      <c r="F326" s="38"/>
      <c r="G326" s="38"/>
      <c r="H326" s="38"/>
      <c r="I326" s="38"/>
      <c r="J326" s="38"/>
      <c r="K326" s="38"/>
      <c r="L326" s="38"/>
      <c r="M326" s="38"/>
      <c r="N326" s="35"/>
      <c r="O326" s="35"/>
      <c r="P326" s="71"/>
    </row>
    <row r="327" spans="2:16" s="105" customFormat="1" ht="45">
      <c r="B327" s="144" t="s">
        <v>348</v>
      </c>
      <c r="C327" s="145" t="s">
        <v>221</v>
      </c>
      <c r="D327" s="104">
        <f t="shared" si="78"/>
        <v>0</v>
      </c>
      <c r="E327" s="41">
        <f t="shared" ref="E327:M327" si="81">SUM(E328:E331)</f>
        <v>0</v>
      </c>
      <c r="F327" s="41">
        <f t="shared" si="81"/>
        <v>0</v>
      </c>
      <c r="G327" s="41"/>
      <c r="H327" s="41">
        <f t="shared" si="81"/>
        <v>0</v>
      </c>
      <c r="I327" s="41">
        <f t="shared" si="81"/>
        <v>0</v>
      </c>
      <c r="J327" s="41">
        <f>SUM(J328:J331)</f>
        <v>0</v>
      </c>
      <c r="K327" s="41">
        <f t="shared" si="81"/>
        <v>0</v>
      </c>
      <c r="L327" s="41">
        <f t="shared" si="81"/>
        <v>0</v>
      </c>
      <c r="M327" s="41">
        <f t="shared" si="81"/>
        <v>0</v>
      </c>
      <c r="N327" s="66" t="str">
        <f>IF((D327=D$10)*AND(E327=E$10)*AND(F327=F$10)*AND(G327=G$10)*AND(H327=H$10)*AND(I327=I$10)*AND(K327=K$10)*AND(L327=L$10)*AND(M327=M$10)*AND(J327=J$10),"Выполнено","ПРОВЕРИТЬ (во всех муниципальных образованиях должен быть урегулирован статус глав)")</f>
        <v>ПРОВЕРИТЬ (во всех муниципальных образованиях должен быть урегулирован статус глав)</v>
      </c>
      <c r="O327" s="80" t="str">
        <f>IF(((D327=0)),"   ","Нужно заполнить пункт 38 текстовой части - о способах избрания и полномочиях глав муниципальных образований")</f>
        <v xml:space="preserve">   </v>
      </c>
      <c r="P327" s="71"/>
    </row>
    <row r="328" spans="2:16" s="105" customFormat="1" ht="30">
      <c r="B328" s="144" t="s">
        <v>732</v>
      </c>
      <c r="C328" s="145" t="s">
        <v>223</v>
      </c>
      <c r="D328" s="104">
        <f t="shared" si="78"/>
        <v>0</v>
      </c>
      <c r="E328" s="38"/>
      <c r="F328" s="38"/>
      <c r="G328" s="38"/>
      <c r="H328" s="38"/>
      <c r="I328" s="38"/>
      <c r="J328" s="38"/>
      <c r="K328" s="38"/>
      <c r="L328" s="38"/>
      <c r="M328" s="38"/>
      <c r="N328" s="35"/>
      <c r="O328" s="35"/>
      <c r="P328" s="71"/>
    </row>
    <row r="329" spans="2:16" s="105" customFormat="1">
      <c r="B329" s="144" t="s">
        <v>733</v>
      </c>
      <c r="C329" s="145" t="s">
        <v>222</v>
      </c>
      <c r="D329" s="104">
        <f t="shared" si="78"/>
        <v>0</v>
      </c>
      <c r="E329" s="38"/>
      <c r="F329" s="38"/>
      <c r="G329" s="38"/>
      <c r="H329" s="38"/>
      <c r="I329" s="38"/>
      <c r="J329" s="38"/>
      <c r="K329" s="38"/>
      <c r="L329" s="38"/>
      <c r="M329" s="38"/>
      <c r="N329" s="35"/>
      <c r="O329" s="35"/>
      <c r="P329" s="71"/>
    </row>
    <row r="330" spans="2:16" s="105" customFormat="1" ht="45">
      <c r="B330" s="144" t="s">
        <v>734</v>
      </c>
      <c r="C330" s="145" t="s">
        <v>224</v>
      </c>
      <c r="D330" s="104">
        <f>G330+M330</f>
        <v>0</v>
      </c>
      <c r="E330" s="61"/>
      <c r="F330" s="61"/>
      <c r="G330" s="38"/>
      <c r="H330" s="61"/>
      <c r="I330" s="61"/>
      <c r="J330" s="61"/>
      <c r="K330" s="61"/>
      <c r="L330" s="61"/>
      <c r="M330" s="38"/>
      <c r="N330" s="35"/>
      <c r="O330" s="35"/>
      <c r="P330" s="71"/>
    </row>
    <row r="331" spans="2:16" s="24" customFormat="1" ht="45">
      <c r="B331" s="144" t="s">
        <v>735</v>
      </c>
      <c r="C331" s="145" t="s">
        <v>299</v>
      </c>
      <c r="D331" s="104">
        <f t="shared" si="78"/>
        <v>0</v>
      </c>
      <c r="E331" s="38"/>
      <c r="F331" s="38"/>
      <c r="G331" s="38"/>
      <c r="H331" s="38"/>
      <c r="I331" s="38"/>
      <c r="J331" s="38"/>
      <c r="K331" s="38"/>
      <c r="L331" s="38"/>
      <c r="M331" s="38"/>
      <c r="N331" s="35"/>
      <c r="O331" s="35"/>
      <c r="P331" s="74"/>
    </row>
    <row r="332" spans="2:16" s="105" customFormat="1" ht="105">
      <c r="B332" s="144" t="s">
        <v>736</v>
      </c>
      <c r="C332" s="145" t="s">
        <v>1279</v>
      </c>
      <c r="D332" s="104">
        <f t="shared" si="78"/>
        <v>0</v>
      </c>
      <c r="E332" s="38"/>
      <c r="F332" s="38"/>
      <c r="G332" s="38"/>
      <c r="H332" s="38"/>
      <c r="I332" s="38"/>
      <c r="J332" s="38"/>
      <c r="K332" s="38"/>
      <c r="L332" s="38"/>
      <c r="M332" s="38"/>
      <c r="N332" s="66" t="str">
        <f>IF((D332&lt;=D$10)*AND(E332&lt;=E$10)*AND(F332&lt;=F$10)*AND(G332&lt;=G$10)*AND(H332&lt;=H$10)*AND(I332&lt;=I$10)*AND(K332&lt;=K$10)*AND(L332&lt;=L$10)*AND(M332&lt;=M$10)*AND(J332&lt;=J$10),"Выполнено","ПРОВЕРИТЬ (таких муниципальных образований не может быть больше их общего числа)")</f>
        <v>Выполнено</v>
      </c>
      <c r="O332" s="80" t="str">
        <f>IF(((D332=0)),"   ","Нужно заполнить пункт 39 текстовой части - о муниципалитетах, соответствующих критериях, установленных законом субъекта Российской Федерации согласно решению КС РФ № 30-П")</f>
        <v xml:space="preserve">   </v>
      </c>
      <c r="P332" s="74"/>
    </row>
    <row r="333" spans="2:16" s="105" customFormat="1" ht="75">
      <c r="B333" s="144" t="s">
        <v>737</v>
      </c>
      <c r="C333" s="145" t="s">
        <v>1278</v>
      </c>
      <c r="D333" s="104">
        <f t="shared" si="78"/>
        <v>0</v>
      </c>
      <c r="E333" s="41">
        <f>SUM(E334:E342)</f>
        <v>0</v>
      </c>
      <c r="F333" s="41">
        <f t="shared" ref="F333:G333" si="82">SUM(F334:F342)</f>
        <v>0</v>
      </c>
      <c r="G333" s="41">
        <f t="shared" si="82"/>
        <v>0</v>
      </c>
      <c r="H333" s="41">
        <f>SUM(H334:H342)</f>
        <v>0</v>
      </c>
      <c r="I333" s="41">
        <f>SUM(I334:I342)</f>
        <v>0</v>
      </c>
      <c r="J333" s="41">
        <f>SUM(J334:J342)</f>
        <v>0</v>
      </c>
      <c r="K333" s="41">
        <f t="shared" ref="K333:M333" si="83">SUM(K334:K342)</f>
        <v>0</v>
      </c>
      <c r="L333" s="41">
        <f t="shared" si="83"/>
        <v>0</v>
      </c>
      <c r="M333" s="41">
        <f t="shared" si="83"/>
        <v>0</v>
      </c>
      <c r="N333" s="66" t="b">
        <f>G3501=IF((D333=D126)*AND(E333=E126)*AND(F333=F126)*AND(G333=G126)*AND(H333=H126)*AND(I333=I126)*AND(K333=K126)*AND(L333=L126)*AND(M333=M126)*AND(J333=J126),"Выполнено","ПРОВЕРИТЬ (в уставах всех муниципальных образованиях должен быть урегулирован способ избрания глав)")</f>
        <v>0</v>
      </c>
      <c r="O333" s="80" t="str">
        <f>IF(((D333=0)),"   ","Нужно заполнить пункт 38 текстовой части - о способах избрания и полномочиях глав муниципальных образований")</f>
        <v xml:space="preserve">   </v>
      </c>
      <c r="P333" s="74"/>
    </row>
    <row r="334" spans="2:16" s="105" customFormat="1" ht="30">
      <c r="B334" s="144" t="s">
        <v>579</v>
      </c>
      <c r="C334" s="145" t="s">
        <v>226</v>
      </c>
      <c r="D334" s="104">
        <f t="shared" si="78"/>
        <v>0</v>
      </c>
      <c r="E334" s="38"/>
      <c r="F334" s="38"/>
      <c r="G334" s="38"/>
      <c r="H334" s="38"/>
      <c r="I334" s="38"/>
      <c r="J334" s="38"/>
      <c r="K334" s="38"/>
      <c r="L334" s="38"/>
      <c r="M334" s="38"/>
      <c r="N334" s="35"/>
      <c r="O334" s="80" t="str">
        <f>IF(((D334=0)),"   ","Нужно заполнить пункт 40 текстовой части - о главах, избранных на выборах и исполняющих обязанности председателей")</f>
        <v xml:space="preserve">   </v>
      </c>
      <c r="P334" s="74"/>
    </row>
    <row r="335" spans="2:16" s="105" customFormat="1" ht="30">
      <c r="B335" s="144" t="s">
        <v>580</v>
      </c>
      <c r="C335" s="145" t="s">
        <v>227</v>
      </c>
      <c r="D335" s="104">
        <f t="shared" si="78"/>
        <v>0</v>
      </c>
      <c r="E335" s="38"/>
      <c r="F335" s="38"/>
      <c r="G335" s="40"/>
      <c r="H335" s="38"/>
      <c r="I335" s="38"/>
      <c r="J335" s="38"/>
      <c r="K335" s="38"/>
      <c r="L335" s="38"/>
      <c r="M335" s="38"/>
      <c r="N335" s="35"/>
      <c r="O335" s="35"/>
      <c r="P335" s="74"/>
    </row>
    <row r="336" spans="2:16" s="24" customFormat="1" ht="45">
      <c r="B336" s="144" t="s">
        <v>738</v>
      </c>
      <c r="C336" s="145" t="s">
        <v>228</v>
      </c>
      <c r="D336" s="104">
        <f>G336+M336</f>
        <v>0</v>
      </c>
      <c r="E336" s="57"/>
      <c r="F336" s="58"/>
      <c r="G336" s="40"/>
      <c r="H336" s="57"/>
      <c r="I336" s="39"/>
      <c r="J336" s="39"/>
      <c r="K336" s="39"/>
      <c r="L336" s="58"/>
      <c r="M336" s="38"/>
      <c r="N336" s="35"/>
      <c r="O336" s="35"/>
      <c r="P336" s="73"/>
    </row>
    <row r="337" spans="2:16" ht="30">
      <c r="B337" s="144" t="s">
        <v>739</v>
      </c>
      <c r="C337" s="145" t="s">
        <v>229</v>
      </c>
      <c r="D337" s="104">
        <f t="shared" si="78"/>
        <v>0</v>
      </c>
      <c r="E337" s="38"/>
      <c r="F337" s="38"/>
      <c r="G337" s="40"/>
      <c r="H337" s="38"/>
      <c r="I337" s="38"/>
      <c r="J337" s="38"/>
      <c r="K337" s="38"/>
      <c r="L337" s="38"/>
      <c r="M337" s="38"/>
      <c r="N337" s="35"/>
      <c r="O337" s="35"/>
      <c r="P337" s="75"/>
    </row>
    <row r="338" spans="2:16" ht="30">
      <c r="B338" s="144" t="s">
        <v>740</v>
      </c>
      <c r="C338" s="145" t="s">
        <v>230</v>
      </c>
      <c r="D338" s="104">
        <f t="shared" si="78"/>
        <v>0</v>
      </c>
      <c r="E338" s="38"/>
      <c r="F338" s="38"/>
      <c r="G338" s="38"/>
      <c r="H338" s="38"/>
      <c r="I338" s="38"/>
      <c r="J338" s="38"/>
      <c r="K338" s="38"/>
      <c r="L338" s="38"/>
      <c r="M338" s="38"/>
      <c r="N338" s="35"/>
      <c r="O338" s="80" t="str">
        <f>IF(((D338=0)),"   ","Нужно заполнить пункт 40 текстовой части - о главах, избранных из состава депутатов и возглавляющих местные администрации")</f>
        <v xml:space="preserve">   </v>
      </c>
      <c r="P338" s="75"/>
    </row>
    <row r="339" spans="2:16" ht="45">
      <c r="B339" s="144" t="s">
        <v>741</v>
      </c>
      <c r="C339" s="145" t="s">
        <v>231</v>
      </c>
      <c r="D339" s="104">
        <f>G339+M339</f>
        <v>0</v>
      </c>
      <c r="E339" s="57"/>
      <c r="F339" s="58"/>
      <c r="G339" s="40"/>
      <c r="H339" s="57"/>
      <c r="I339" s="39"/>
      <c r="J339" s="39"/>
      <c r="K339" s="39"/>
      <c r="L339" s="58"/>
      <c r="M339" s="38"/>
      <c r="N339" s="35"/>
      <c r="O339" s="35"/>
      <c r="P339" s="74"/>
    </row>
    <row r="340" spans="2:16" s="21" customFormat="1" ht="30">
      <c r="B340" s="144" t="s">
        <v>742</v>
      </c>
      <c r="C340" s="145" t="s">
        <v>232</v>
      </c>
      <c r="D340" s="104">
        <f t="shared" si="78"/>
        <v>0</v>
      </c>
      <c r="E340" s="38"/>
      <c r="F340" s="38"/>
      <c r="G340" s="40"/>
      <c r="H340" s="38"/>
      <c r="I340" s="38"/>
      <c r="J340" s="38"/>
      <c r="K340" s="38"/>
      <c r="L340" s="38"/>
      <c r="M340" s="38"/>
      <c r="N340" s="35"/>
      <c r="O340" s="35"/>
      <c r="P340" s="73"/>
    </row>
    <row r="341" spans="2:16" s="21" customFormat="1" ht="45">
      <c r="B341" s="144" t="s">
        <v>743</v>
      </c>
      <c r="C341" s="145" t="s">
        <v>233</v>
      </c>
      <c r="D341" s="104">
        <f>G341+M341</f>
        <v>0</v>
      </c>
      <c r="E341" s="57"/>
      <c r="F341" s="58"/>
      <c r="G341" s="38"/>
      <c r="H341" s="57"/>
      <c r="I341" s="39"/>
      <c r="J341" s="39"/>
      <c r="K341" s="39"/>
      <c r="L341" s="58"/>
      <c r="M341" s="38"/>
      <c r="N341" s="35"/>
      <c r="O341" s="80" t="str">
        <f>IF(((D341=0)),"   ","Нужно заполнить пункт 40 текстовой части - о главах, избранных на конкурсной основе и совмещающих функции председателя и главы местной администрации")</f>
        <v xml:space="preserve">   </v>
      </c>
      <c r="P341" s="73"/>
    </row>
    <row r="342" spans="2:16" s="21" customFormat="1" ht="30">
      <c r="B342" s="144" t="s">
        <v>744</v>
      </c>
      <c r="C342" s="145" t="s">
        <v>225</v>
      </c>
      <c r="D342" s="104">
        <f>F342+G342</f>
        <v>0</v>
      </c>
      <c r="E342" s="41"/>
      <c r="F342" s="38"/>
      <c r="G342" s="38"/>
      <c r="H342" s="57"/>
      <c r="I342" s="39"/>
      <c r="J342" s="39"/>
      <c r="K342" s="39"/>
      <c r="L342" s="39"/>
      <c r="M342" s="39"/>
      <c r="N342" s="80" t="str">
        <f>IF((F342=F224)*AND(G342=G224),"Выполнено","ПРОВЕРИТЬ (несовпадение по числам поселений, где полномочия представительного органа должен осуществлять сход граждан)")</f>
        <v>Выполнено</v>
      </c>
      <c r="O342" s="80" t="str">
        <f>IF(((D342=0)),"   ","Нужно заполнить пункт 41 текстовой части - о главах, избранных на сходах")</f>
        <v xml:space="preserve">   </v>
      </c>
      <c r="P342" s="73"/>
    </row>
    <row r="343" spans="2:16" s="21" customFormat="1" ht="45">
      <c r="B343" s="144" t="s">
        <v>745</v>
      </c>
      <c r="C343" s="145" t="s">
        <v>116</v>
      </c>
      <c r="D343" s="104">
        <f t="shared" si="78"/>
        <v>1</v>
      </c>
      <c r="E343" s="41">
        <f>SUM(E344:E352)</f>
        <v>0</v>
      </c>
      <c r="F343" s="41">
        <f t="shared" ref="F343:M343" si="84">SUM(F344:F352)</f>
        <v>0</v>
      </c>
      <c r="G343" s="41">
        <f t="shared" si="84"/>
        <v>1</v>
      </c>
      <c r="H343" s="41">
        <f>SUM(H344:H352)</f>
        <v>0</v>
      </c>
      <c r="I343" s="41">
        <f>SUM(I344:I352)</f>
        <v>0</v>
      </c>
      <c r="J343" s="41">
        <f>SUM(J344:J352)</f>
        <v>0</v>
      </c>
      <c r="K343" s="41">
        <f t="shared" si="84"/>
        <v>0</v>
      </c>
      <c r="L343" s="41">
        <f t="shared" si="84"/>
        <v>0</v>
      </c>
      <c r="M343" s="41">
        <f t="shared" si="84"/>
        <v>0</v>
      </c>
      <c r="N343" s="35"/>
      <c r="O343" s="80" t="str">
        <f>IF(((D343=0)),"   ","Нужно заполнить пункт 38 текстовой части - о способах избрания и полномочиях глав муниципальных образований")</f>
        <v>Нужно заполнить пункт 38 текстовой части - о способах избрания и полномочиях глав муниципальных образований</v>
      </c>
      <c r="P343" s="73"/>
    </row>
    <row r="344" spans="2:16" ht="30">
      <c r="B344" s="144" t="s">
        <v>746</v>
      </c>
      <c r="C344" s="145" t="s">
        <v>97</v>
      </c>
      <c r="D344" s="104">
        <f t="shared" si="78"/>
        <v>0</v>
      </c>
      <c r="E344" s="38"/>
      <c r="F344" s="38"/>
      <c r="G344" s="38"/>
      <c r="H344" s="38"/>
      <c r="I344" s="38"/>
      <c r="J344" s="38"/>
      <c r="K344" s="38"/>
      <c r="L344" s="38"/>
      <c r="M344" s="38"/>
      <c r="N344" s="35"/>
      <c r="O344" s="80" t="str">
        <f>IF(((D344=0)),"   ","Нужно заполнить пункт 40 текстовой части - о главах, избранных на выборах и исполняющих обязанности председателей")</f>
        <v xml:space="preserve">   </v>
      </c>
      <c r="P344" s="74"/>
    </row>
    <row r="345" spans="2:16" ht="30">
      <c r="B345" s="144" t="s">
        <v>747</v>
      </c>
      <c r="C345" s="145" t="s">
        <v>98</v>
      </c>
      <c r="D345" s="104">
        <f t="shared" si="78"/>
        <v>0</v>
      </c>
      <c r="E345" s="38"/>
      <c r="F345" s="38"/>
      <c r="G345" s="40"/>
      <c r="H345" s="38"/>
      <c r="I345" s="38"/>
      <c r="J345" s="38"/>
      <c r="K345" s="38"/>
      <c r="L345" s="38"/>
      <c r="M345" s="38"/>
      <c r="N345" s="35"/>
      <c r="O345" s="35"/>
      <c r="P345" s="73"/>
    </row>
    <row r="346" spans="2:16" ht="45">
      <c r="B346" s="144" t="s">
        <v>748</v>
      </c>
      <c r="C346" s="145" t="s">
        <v>99</v>
      </c>
      <c r="D346" s="104">
        <f>G346+M346</f>
        <v>0</v>
      </c>
      <c r="E346" s="57"/>
      <c r="F346" s="58"/>
      <c r="G346" s="40"/>
      <c r="H346" s="57"/>
      <c r="I346" s="39"/>
      <c r="J346" s="39"/>
      <c r="K346" s="39"/>
      <c r="L346" s="58"/>
      <c r="M346" s="38"/>
      <c r="N346" s="35"/>
      <c r="O346" s="35"/>
      <c r="P346" s="73"/>
    </row>
    <row r="347" spans="2:16" ht="30">
      <c r="B347" s="144" t="s">
        <v>749</v>
      </c>
      <c r="C347" s="145" t="s">
        <v>110</v>
      </c>
      <c r="D347" s="104">
        <f t="shared" si="78"/>
        <v>0</v>
      </c>
      <c r="E347" s="38"/>
      <c r="F347" s="38"/>
      <c r="G347" s="40"/>
      <c r="H347" s="38"/>
      <c r="I347" s="38"/>
      <c r="J347" s="38"/>
      <c r="K347" s="38"/>
      <c r="L347" s="38"/>
      <c r="M347" s="38"/>
      <c r="N347" s="35"/>
      <c r="O347" s="35"/>
      <c r="P347" s="74"/>
    </row>
    <row r="348" spans="2:16" s="19" customFormat="1" ht="30">
      <c r="B348" s="144" t="s">
        <v>750</v>
      </c>
      <c r="C348" s="145" t="s">
        <v>111</v>
      </c>
      <c r="D348" s="104">
        <f t="shared" si="78"/>
        <v>0</v>
      </c>
      <c r="E348" s="38"/>
      <c r="F348" s="38"/>
      <c r="G348" s="38"/>
      <c r="H348" s="38"/>
      <c r="I348" s="38"/>
      <c r="J348" s="38"/>
      <c r="K348" s="38"/>
      <c r="L348" s="38"/>
      <c r="M348" s="38"/>
      <c r="N348" s="35"/>
      <c r="O348" s="80" t="str">
        <f>IF(((D348=0)),"   ","Нужно заполнить пункт 40 текстовой части - о главах, избранных из состава депутатов и возглавляющих местные администрации")</f>
        <v xml:space="preserve">   </v>
      </c>
      <c r="P348" s="73"/>
    </row>
    <row r="349" spans="2:16" ht="45">
      <c r="B349" s="144" t="s">
        <v>751</v>
      </c>
      <c r="C349" s="145" t="s">
        <v>112</v>
      </c>
      <c r="D349" s="104">
        <f>G349+M349</f>
        <v>0</v>
      </c>
      <c r="E349" s="57"/>
      <c r="F349" s="58"/>
      <c r="G349" s="40"/>
      <c r="H349" s="57"/>
      <c r="I349" s="39"/>
      <c r="J349" s="39"/>
      <c r="K349" s="39"/>
      <c r="L349" s="58"/>
      <c r="M349" s="38"/>
      <c r="N349" s="35"/>
      <c r="O349" s="35"/>
      <c r="P349" s="73"/>
    </row>
    <row r="350" spans="2:16" ht="30">
      <c r="B350" s="144" t="s">
        <v>752</v>
      </c>
      <c r="C350" s="145" t="s">
        <v>113</v>
      </c>
      <c r="D350" s="104">
        <f t="shared" si="78"/>
        <v>1</v>
      </c>
      <c r="E350" s="38"/>
      <c r="F350" s="38"/>
      <c r="G350" s="40">
        <v>1</v>
      </c>
      <c r="H350" s="38"/>
      <c r="I350" s="38"/>
      <c r="J350" s="38"/>
      <c r="K350" s="38"/>
      <c r="L350" s="38"/>
      <c r="M350" s="38"/>
      <c r="N350" s="35"/>
      <c r="O350" s="35"/>
      <c r="P350" s="73"/>
    </row>
    <row r="351" spans="2:16" ht="45">
      <c r="B351" s="144" t="s">
        <v>753</v>
      </c>
      <c r="C351" s="145" t="s">
        <v>114</v>
      </c>
      <c r="D351" s="104">
        <f>G351+M351</f>
        <v>0</v>
      </c>
      <c r="E351" s="57"/>
      <c r="F351" s="58"/>
      <c r="G351" s="38"/>
      <c r="H351" s="57"/>
      <c r="I351" s="39"/>
      <c r="J351" s="39"/>
      <c r="K351" s="39"/>
      <c r="L351" s="58"/>
      <c r="M351" s="38"/>
      <c r="N351" s="35"/>
      <c r="O351" s="80" t="str">
        <f>IF(((D351=0)),"   ","Нужно заполнить пункт 40 текстовой части - о главах, избранных на конкурсной основе и совмещающих функции председателя и главы местной администрации")</f>
        <v xml:space="preserve">   </v>
      </c>
      <c r="P351" s="73"/>
    </row>
    <row r="352" spans="2:16" ht="30">
      <c r="B352" s="144" t="s">
        <v>754</v>
      </c>
      <c r="C352" s="145" t="s">
        <v>115</v>
      </c>
      <c r="D352" s="104">
        <f>F352+G352</f>
        <v>0</v>
      </c>
      <c r="E352" s="41"/>
      <c r="F352" s="38"/>
      <c r="G352" s="38"/>
      <c r="H352" s="57"/>
      <c r="I352" s="39"/>
      <c r="J352" s="39"/>
      <c r="K352" s="39"/>
      <c r="L352" s="39"/>
      <c r="M352" s="39"/>
      <c r="N352" s="35"/>
      <c r="O352" s="80" t="str">
        <f>IF(((D352=0)),"   ","Нужно заполнить пункт 41 текстовой части - о главах, избранных на сходах")</f>
        <v xml:space="preserve">   </v>
      </c>
      <c r="P352" s="73"/>
    </row>
    <row r="353" spans="2:16" ht="30">
      <c r="B353" s="143" t="s">
        <v>473</v>
      </c>
      <c r="C353" s="117" t="s">
        <v>576</v>
      </c>
      <c r="D353" s="104">
        <f t="shared" ref="D353:D375" si="85">SUM(E353:I353)+SUM(K353:M353)</f>
        <v>1</v>
      </c>
      <c r="E353" s="41">
        <f>E354+E355+E356</f>
        <v>0</v>
      </c>
      <c r="F353" s="41">
        <f t="shared" ref="F353:M353" si="86">F354+F355+F356</f>
        <v>0</v>
      </c>
      <c r="G353" s="41">
        <f t="shared" si="86"/>
        <v>1</v>
      </c>
      <c r="H353" s="41">
        <f t="shared" si="86"/>
        <v>0</v>
      </c>
      <c r="I353" s="41">
        <f t="shared" si="86"/>
        <v>0</v>
      </c>
      <c r="J353" s="41">
        <f>J354+J355+J356</f>
        <v>0</v>
      </c>
      <c r="K353" s="41">
        <f t="shared" si="86"/>
        <v>0</v>
      </c>
      <c r="L353" s="41">
        <f t="shared" si="86"/>
        <v>0</v>
      </c>
      <c r="M353" s="41">
        <f t="shared" si="86"/>
        <v>0</v>
      </c>
      <c r="N353" s="66" t="str">
        <f>IF((D353=D343)*AND(E353=E343)*AND(F353=F343)*AND(G353=G343)*AND(H353=H343)*AND(I353=I343)*AND(K353=K343)*AND(L353=L343)*AND(M353=M343)*AND(J353=J343),"Выполнено","ПРОВЕРИТЬ - по количеству действующих глав муниципальных образований)")</f>
        <v>Выполнено</v>
      </c>
      <c r="O353" s="108"/>
      <c r="P353" s="73"/>
    </row>
    <row r="354" spans="2:16">
      <c r="B354" s="143" t="s">
        <v>349</v>
      </c>
      <c r="C354" s="117" t="s">
        <v>1096</v>
      </c>
      <c r="D354" s="104">
        <f t="shared" si="85"/>
        <v>0</v>
      </c>
      <c r="E354" s="40"/>
      <c r="F354" s="40"/>
      <c r="G354" s="40"/>
      <c r="H354" s="40"/>
      <c r="I354" s="40"/>
      <c r="J354" s="40"/>
      <c r="K354" s="40"/>
      <c r="L354" s="40"/>
      <c r="M354" s="40"/>
      <c r="N354" s="107"/>
      <c r="O354" s="107"/>
      <c r="P354" s="73"/>
    </row>
    <row r="355" spans="2:16" s="105" customFormat="1">
      <c r="B355" s="143" t="s">
        <v>350</v>
      </c>
      <c r="C355" s="117" t="s">
        <v>577</v>
      </c>
      <c r="D355" s="104">
        <f t="shared" si="85"/>
        <v>1</v>
      </c>
      <c r="E355" s="40"/>
      <c r="F355" s="40"/>
      <c r="G355" s="40">
        <v>1</v>
      </c>
      <c r="H355" s="40"/>
      <c r="I355" s="40"/>
      <c r="J355" s="40"/>
      <c r="K355" s="40"/>
      <c r="L355" s="40"/>
      <c r="M355" s="40"/>
      <c r="N355" s="107"/>
      <c r="O355" s="107"/>
      <c r="P355" s="109"/>
    </row>
    <row r="356" spans="2:16" s="105" customFormat="1">
      <c r="B356" s="143" t="s">
        <v>474</v>
      </c>
      <c r="C356" s="117" t="s">
        <v>1097</v>
      </c>
      <c r="D356" s="104">
        <f t="shared" si="85"/>
        <v>0</v>
      </c>
      <c r="E356" s="40"/>
      <c r="F356" s="40"/>
      <c r="G356" s="40"/>
      <c r="H356" s="40"/>
      <c r="I356" s="40"/>
      <c r="J356" s="40"/>
      <c r="K356" s="40"/>
      <c r="L356" s="40"/>
      <c r="M356" s="40"/>
      <c r="N356" s="107"/>
      <c r="O356" s="107"/>
      <c r="P356" s="109"/>
    </row>
    <row r="357" spans="2:16" s="105" customFormat="1" ht="45">
      <c r="B357" s="143" t="s">
        <v>603</v>
      </c>
      <c r="C357" s="117" t="s">
        <v>1206</v>
      </c>
      <c r="D357" s="104">
        <f t="shared" si="85"/>
        <v>0</v>
      </c>
      <c r="E357" s="41">
        <f>SUM(E358:E364)</f>
        <v>0</v>
      </c>
      <c r="F357" s="41">
        <f t="shared" ref="F357:M357" si="87">SUM(F358:F364)</f>
        <v>0</v>
      </c>
      <c r="G357" s="41">
        <f t="shared" si="87"/>
        <v>0</v>
      </c>
      <c r="H357" s="41">
        <f t="shared" si="87"/>
        <v>0</v>
      </c>
      <c r="I357" s="41">
        <f t="shared" si="87"/>
        <v>0</v>
      </c>
      <c r="J357" s="41">
        <f>SUM(J358:J364)</f>
        <v>0</v>
      </c>
      <c r="K357" s="41">
        <f t="shared" si="87"/>
        <v>0</v>
      </c>
      <c r="L357" s="41">
        <f t="shared" si="87"/>
        <v>0</v>
      </c>
      <c r="M357" s="41">
        <f t="shared" si="87"/>
        <v>0</v>
      </c>
      <c r="N357" s="66" t="str">
        <f>IF((D357=D344+D345+D346)*AND(E357=E344+E345+E346)*AND(F357=F344+F345+F346)*AND(G357=G344+G345+G346)*AND(H357=H344+H345+H346)*AND(I357=I344+I345+I346)*AND(K357=K344+K345+K346)*AND(L357=L344+L345+L346)*AND(M357=M344+M345+M346)*AND(J357=J344+J345+J346),"Выполнено","ПРОВЕРИТЬ (Общее число глав, избранных на прямых выборах")</f>
        <v>Выполнено</v>
      </c>
      <c r="O357" s="33"/>
      <c r="P357" s="109"/>
    </row>
    <row r="358" spans="2:16" s="105" customFormat="1">
      <c r="B358" s="143" t="s">
        <v>476</v>
      </c>
      <c r="C358" s="147" t="s">
        <v>615</v>
      </c>
      <c r="D358" s="104">
        <f t="shared" si="85"/>
        <v>0</v>
      </c>
      <c r="E358" s="40"/>
      <c r="F358" s="40"/>
      <c r="G358" s="40"/>
      <c r="H358" s="40"/>
      <c r="I358" s="40"/>
      <c r="J358" s="40"/>
      <c r="K358" s="40"/>
      <c r="L358" s="40"/>
      <c r="M358" s="40"/>
      <c r="N358" s="33"/>
      <c r="O358" s="33"/>
      <c r="P358" s="109"/>
    </row>
    <row r="359" spans="2:16" s="105" customFormat="1">
      <c r="B359" s="143" t="s">
        <v>477</v>
      </c>
      <c r="C359" s="147" t="s">
        <v>616</v>
      </c>
      <c r="D359" s="104">
        <f t="shared" si="85"/>
        <v>0</v>
      </c>
      <c r="E359" s="40"/>
      <c r="F359" s="40"/>
      <c r="G359" s="40"/>
      <c r="H359" s="40"/>
      <c r="I359" s="40"/>
      <c r="J359" s="40"/>
      <c r="K359" s="40"/>
      <c r="L359" s="40"/>
      <c r="M359" s="40"/>
      <c r="N359" s="33"/>
      <c r="O359" s="33"/>
      <c r="P359" s="109"/>
    </row>
    <row r="360" spans="2:16" s="105" customFormat="1">
      <c r="B360" s="143" t="s">
        <v>478</v>
      </c>
      <c r="C360" s="147" t="s">
        <v>617</v>
      </c>
      <c r="D360" s="104">
        <f t="shared" si="85"/>
        <v>0</v>
      </c>
      <c r="E360" s="40"/>
      <c r="F360" s="40"/>
      <c r="G360" s="40"/>
      <c r="H360" s="40"/>
      <c r="I360" s="40"/>
      <c r="J360" s="40"/>
      <c r="K360" s="40"/>
      <c r="L360" s="40"/>
      <c r="M360" s="40"/>
      <c r="N360" s="33"/>
      <c r="O360" s="33"/>
      <c r="P360" s="109"/>
    </row>
    <row r="361" spans="2:16" s="105" customFormat="1">
      <c r="B361" s="143" t="s">
        <v>479</v>
      </c>
      <c r="C361" s="147" t="s">
        <v>618</v>
      </c>
      <c r="D361" s="104">
        <f t="shared" si="85"/>
        <v>0</v>
      </c>
      <c r="E361" s="40"/>
      <c r="F361" s="40"/>
      <c r="G361" s="40"/>
      <c r="H361" s="40"/>
      <c r="I361" s="40"/>
      <c r="J361" s="40"/>
      <c r="K361" s="40"/>
      <c r="L361" s="40"/>
      <c r="M361" s="40"/>
      <c r="N361" s="33"/>
      <c r="O361" s="33"/>
      <c r="P361" s="109"/>
    </row>
    <row r="362" spans="2:16" s="105" customFormat="1">
      <c r="B362" s="144" t="s">
        <v>755</v>
      </c>
      <c r="C362" s="145" t="s">
        <v>619</v>
      </c>
      <c r="D362" s="104">
        <f t="shared" si="85"/>
        <v>0</v>
      </c>
      <c r="E362" s="38"/>
      <c r="F362" s="38"/>
      <c r="G362" s="38"/>
      <c r="H362" s="38"/>
      <c r="I362" s="38"/>
      <c r="J362" s="38"/>
      <c r="K362" s="38"/>
      <c r="L362" s="38"/>
      <c r="M362" s="38"/>
      <c r="N362" s="33"/>
      <c r="O362" s="80" t="str">
        <f>IF(((D362=0)),"   ","Нужно заполнить пункт 42 текстовой части - о политическом представительстве малых партий")</f>
        <v xml:space="preserve">   </v>
      </c>
      <c r="P362" s="109"/>
    </row>
    <row r="363" spans="2:16" s="105" customFormat="1" ht="45">
      <c r="B363" s="144" t="s">
        <v>756</v>
      </c>
      <c r="C363" s="145" t="s">
        <v>509</v>
      </c>
      <c r="D363" s="104">
        <f t="shared" si="85"/>
        <v>0</v>
      </c>
      <c r="E363" s="38"/>
      <c r="F363" s="38"/>
      <c r="G363" s="38"/>
      <c r="H363" s="38"/>
      <c r="I363" s="38"/>
      <c r="J363" s="38"/>
      <c r="K363" s="38"/>
      <c r="L363" s="38"/>
      <c r="M363" s="38"/>
      <c r="N363" s="33"/>
      <c r="O363" s="80" t="str">
        <f>IF(((D363=0)),"   ","Нужно заполнить пункт 42 текстовой части - о политическом представительстве малых партий")</f>
        <v xml:space="preserve">   </v>
      </c>
      <c r="P363" s="109"/>
    </row>
    <row r="364" spans="2:16" s="105" customFormat="1">
      <c r="B364" s="143" t="s">
        <v>604</v>
      </c>
      <c r="C364" s="147" t="s">
        <v>493</v>
      </c>
      <c r="D364" s="104">
        <f t="shared" si="85"/>
        <v>0</v>
      </c>
      <c r="E364" s="40"/>
      <c r="F364" s="40"/>
      <c r="G364" s="40"/>
      <c r="H364" s="40"/>
      <c r="I364" s="40"/>
      <c r="J364" s="40"/>
      <c r="K364" s="40"/>
      <c r="L364" s="40"/>
      <c r="M364" s="40"/>
      <c r="N364" s="33"/>
      <c r="O364" s="33"/>
      <c r="P364" s="109"/>
    </row>
    <row r="365" spans="2:16" s="105" customFormat="1" ht="30">
      <c r="B365" s="162" t="s">
        <v>605</v>
      </c>
      <c r="C365" s="147" t="s">
        <v>1138</v>
      </c>
      <c r="D365" s="104">
        <f t="shared" si="85"/>
        <v>1</v>
      </c>
      <c r="E365" s="41">
        <f>SUM(E366:E370)</f>
        <v>0</v>
      </c>
      <c r="F365" s="41">
        <f t="shared" ref="F365:M365" si="88">SUM(F366:F370)</f>
        <v>0</v>
      </c>
      <c r="G365" s="41">
        <f t="shared" si="88"/>
        <v>1</v>
      </c>
      <c r="H365" s="41">
        <f t="shared" si="88"/>
        <v>0</v>
      </c>
      <c r="I365" s="41">
        <f t="shared" si="88"/>
        <v>0</v>
      </c>
      <c r="J365" s="41">
        <f>SUM(J366:J370)</f>
        <v>0</v>
      </c>
      <c r="K365" s="41">
        <f t="shared" si="88"/>
        <v>0</v>
      </c>
      <c r="L365" s="41">
        <f t="shared" si="88"/>
        <v>0</v>
      </c>
      <c r="M365" s="41">
        <f t="shared" si="88"/>
        <v>0</v>
      </c>
      <c r="N365" s="66" t="str">
        <f>IF((D365=D343)*AND(E365=E343)*AND(F365=F343)*AND(G365=G343)*AND(H365=H343)*AND(I365=I343)*AND(K365=K343)*AND(L365=L343)*AND(M365=M343)*AND(J365=J343),"Выполнено","ПРОВЕРИТЬ - по количеству действующих глав муниципальных образований)")</f>
        <v>Выполнено</v>
      </c>
      <c r="O365" s="107"/>
      <c r="P365" s="109"/>
    </row>
    <row r="366" spans="2:16" s="105" customFormat="1">
      <c r="B366" s="162" t="s">
        <v>484</v>
      </c>
      <c r="C366" s="147" t="s">
        <v>578</v>
      </c>
      <c r="D366" s="104">
        <f t="shared" si="85"/>
        <v>0</v>
      </c>
      <c r="E366" s="40"/>
      <c r="F366" s="40"/>
      <c r="G366" s="40"/>
      <c r="H366" s="40"/>
      <c r="I366" s="40"/>
      <c r="J366" s="40"/>
      <c r="K366" s="40"/>
      <c r="L366" s="40"/>
      <c r="M366" s="40"/>
      <c r="N366" s="107"/>
      <c r="O366" s="107"/>
      <c r="P366" s="109"/>
    </row>
    <row r="367" spans="2:16" s="105" customFormat="1">
      <c r="B367" s="162" t="s">
        <v>485</v>
      </c>
      <c r="C367" s="147" t="s">
        <v>624</v>
      </c>
      <c r="D367" s="104">
        <f t="shared" si="85"/>
        <v>0</v>
      </c>
      <c r="E367" s="40"/>
      <c r="F367" s="40"/>
      <c r="G367" s="40"/>
      <c r="H367" s="40"/>
      <c r="I367" s="40"/>
      <c r="J367" s="40"/>
      <c r="K367" s="40"/>
      <c r="L367" s="40"/>
      <c r="M367" s="40"/>
      <c r="N367" s="107"/>
      <c r="O367" s="107"/>
      <c r="P367" s="109"/>
    </row>
    <row r="368" spans="2:16" s="105" customFormat="1">
      <c r="B368" s="143" t="s">
        <v>585</v>
      </c>
      <c r="C368" s="147" t="s">
        <v>625</v>
      </c>
      <c r="D368" s="104">
        <f t="shared" si="85"/>
        <v>0</v>
      </c>
      <c r="E368" s="40"/>
      <c r="F368" s="40"/>
      <c r="G368" s="40"/>
      <c r="H368" s="40"/>
      <c r="I368" s="40"/>
      <c r="J368" s="40"/>
      <c r="K368" s="40"/>
      <c r="L368" s="40"/>
      <c r="M368" s="40"/>
      <c r="N368" s="107"/>
      <c r="O368" s="107"/>
      <c r="P368" s="109"/>
    </row>
    <row r="369" spans="2:16" s="105" customFormat="1">
      <c r="B369" s="143" t="s">
        <v>586</v>
      </c>
      <c r="C369" s="147" t="s">
        <v>626</v>
      </c>
      <c r="D369" s="104">
        <f t="shared" si="85"/>
        <v>1</v>
      </c>
      <c r="E369" s="40"/>
      <c r="F369" s="40"/>
      <c r="G369" s="40">
        <v>1</v>
      </c>
      <c r="H369" s="40"/>
      <c r="I369" s="40"/>
      <c r="J369" s="40"/>
      <c r="K369" s="40"/>
      <c r="L369" s="40"/>
      <c r="M369" s="40"/>
      <c r="N369" s="107"/>
      <c r="O369" s="107"/>
      <c r="P369" s="109"/>
    </row>
    <row r="370" spans="2:16" s="105" customFormat="1">
      <c r="B370" s="143" t="s">
        <v>757</v>
      </c>
      <c r="C370" s="147" t="s">
        <v>627</v>
      </c>
      <c r="D370" s="104">
        <f t="shared" si="85"/>
        <v>0</v>
      </c>
      <c r="E370" s="40"/>
      <c r="F370" s="40"/>
      <c r="G370" s="40"/>
      <c r="H370" s="40"/>
      <c r="I370" s="40"/>
      <c r="J370" s="40"/>
      <c r="K370" s="40"/>
      <c r="L370" s="40"/>
      <c r="M370" s="40"/>
      <c r="N370" s="107"/>
      <c r="O370" s="107"/>
      <c r="P370" s="109"/>
    </row>
    <row r="371" spans="2:16" s="105" customFormat="1" ht="30">
      <c r="B371" s="146" t="s">
        <v>758</v>
      </c>
      <c r="C371" s="147" t="s">
        <v>100</v>
      </c>
      <c r="D371" s="104">
        <f t="shared" si="85"/>
        <v>1</v>
      </c>
      <c r="E371" s="41">
        <f t="shared" ref="E371" si="89">E372+E373</f>
        <v>0</v>
      </c>
      <c r="F371" s="41">
        <f t="shared" ref="F371" si="90">F372+F373</f>
        <v>0</v>
      </c>
      <c r="G371" s="41">
        <f t="shared" ref="G371" si="91">G372+G373</f>
        <v>1</v>
      </c>
      <c r="H371" s="41">
        <f t="shared" ref="H371:I371" si="92">H372+H373</f>
        <v>0</v>
      </c>
      <c r="I371" s="41">
        <f t="shared" si="92"/>
        <v>0</v>
      </c>
      <c r="J371" s="41">
        <f t="shared" ref="J371" si="93">J372+J373</f>
        <v>0</v>
      </c>
      <c r="K371" s="41">
        <f t="shared" ref="K371" si="94">K372+K373</f>
        <v>0</v>
      </c>
      <c r="L371" s="41">
        <f t="shared" ref="L371" si="95">L372+L373</f>
        <v>0</v>
      </c>
      <c r="M371" s="41">
        <f t="shared" ref="M371" si="96">M372+M373</f>
        <v>0</v>
      </c>
      <c r="N371" s="128" t="str">
        <f>IF((D371=D343)*AND(E371=E343)*AND(F371=F343)*AND(G371=G343)*AND(H371=H343)*AND(I371=I343)*AND(K371=K343)*AND(L371=L343)*AND(M371=M343)*AND(J371=J343),"Выполнено","ПРОВЕРИТЬ (в сумме должно получаться общее количество глав)")</f>
        <v>Выполнено</v>
      </c>
      <c r="O371" s="35"/>
      <c r="P371" s="109"/>
    </row>
    <row r="372" spans="2:16" s="105" customFormat="1">
      <c r="B372" s="146" t="s">
        <v>606</v>
      </c>
      <c r="C372" s="147" t="s">
        <v>101</v>
      </c>
      <c r="D372" s="104">
        <f t="shared" si="85"/>
        <v>1</v>
      </c>
      <c r="E372" s="40"/>
      <c r="F372" s="40"/>
      <c r="G372" s="40">
        <v>1</v>
      </c>
      <c r="H372" s="40"/>
      <c r="I372" s="40"/>
      <c r="J372" s="40"/>
      <c r="K372" s="40"/>
      <c r="L372" s="40"/>
      <c r="M372" s="40"/>
      <c r="N372" s="35"/>
      <c r="O372" s="35"/>
      <c r="P372" s="109"/>
    </row>
    <row r="373" spans="2:16" s="105" customFormat="1">
      <c r="B373" s="144" t="s">
        <v>759</v>
      </c>
      <c r="C373" s="145" t="s">
        <v>102</v>
      </c>
      <c r="D373" s="104">
        <f t="shared" si="85"/>
        <v>0</v>
      </c>
      <c r="E373" s="38"/>
      <c r="F373" s="38"/>
      <c r="G373" s="40"/>
      <c r="H373" s="38"/>
      <c r="I373" s="38"/>
      <c r="J373" s="38"/>
      <c r="K373" s="38"/>
      <c r="L373" s="38"/>
      <c r="M373" s="38"/>
      <c r="N373" s="35"/>
      <c r="O373" s="80" t="str">
        <f>IF(((D373-G373=0)),"   ","Нужно заполнить пункт 43 текстовой части - о главах, работающих на непостоянной основе")</f>
        <v xml:space="preserve">   </v>
      </c>
      <c r="P373" s="109"/>
    </row>
    <row r="374" spans="2:16" s="105" customFormat="1" ht="45">
      <c r="B374" s="146" t="s">
        <v>587</v>
      </c>
      <c r="C374" s="147" t="s">
        <v>185</v>
      </c>
      <c r="D374" s="26"/>
      <c r="E374" s="39"/>
      <c r="F374" s="39"/>
      <c r="G374" s="39"/>
      <c r="H374" s="39"/>
      <c r="I374" s="39"/>
      <c r="J374" s="39"/>
      <c r="K374" s="39"/>
      <c r="L374" s="39"/>
      <c r="M374" s="39"/>
      <c r="N374" s="34"/>
      <c r="O374" s="34"/>
      <c r="P374" s="109"/>
    </row>
    <row r="375" spans="2:16" s="105" customFormat="1">
      <c r="B375" s="143" t="s">
        <v>588</v>
      </c>
      <c r="C375" s="117" t="s">
        <v>103</v>
      </c>
      <c r="D375" s="104">
        <f t="shared" si="85"/>
        <v>0</v>
      </c>
      <c r="E375" s="40"/>
      <c r="F375" s="40"/>
      <c r="G375" s="40"/>
      <c r="H375" s="40"/>
      <c r="I375" s="40"/>
      <c r="J375" s="40"/>
      <c r="K375" s="40"/>
      <c r="L375" s="40"/>
      <c r="M375" s="40"/>
      <c r="N375" s="66" t="str">
        <f>IF((D375&lt;=(D347+D348+D349))*AND(E375&lt;=(E347+E348))*AND(F375&lt;=(F347+F348))*AND(G375&lt;=(G347+G348+G349))*AND(H375&lt;=(H347+H348))*AND(I375&lt;=(I347+I348))*AND(K375&lt;=(K347+K348))*AND(L375&lt;=(L347+L348))*AND(M375&lt;=(M347+M348+M349))*AND(J375&lt;=(J347+J348)),"Выполнено","ПРОВЕРИТЬ (такое совмещение допустимо только для глав, избранных представительными органами из своего состава)")</f>
        <v>Выполнено</v>
      </c>
      <c r="O375" s="35"/>
      <c r="P375" s="109"/>
    </row>
    <row r="376" spans="2:16" s="105" customFormat="1" ht="45">
      <c r="B376" s="146" t="s">
        <v>589</v>
      </c>
      <c r="C376" s="147" t="s">
        <v>104</v>
      </c>
      <c r="D376" s="104">
        <f>E376+K376</f>
        <v>0</v>
      </c>
      <c r="E376" s="40"/>
      <c r="F376" s="57"/>
      <c r="G376" s="39"/>
      <c r="H376" s="39"/>
      <c r="I376" s="39"/>
      <c r="J376" s="58"/>
      <c r="K376" s="40"/>
      <c r="L376" s="57"/>
      <c r="M376" s="58"/>
      <c r="N376" s="111" t="str">
        <f>IF((E376&lt;=(E305+E306))*AND(K376&lt;=K307)*AND(E376&lt;=E375)*AND(K376&lt;=K375),"Выполнено","ПРОВЕРИТЬ (такое совмещение может быть следствием одновременного применения системы делегирования и избрания главы из состава депутатов)")</f>
        <v>Выполнено</v>
      </c>
      <c r="O376" s="35"/>
      <c r="P376" s="109"/>
    </row>
    <row r="377" spans="2:16" s="105" customFormat="1" ht="45">
      <c r="B377" s="146" t="s">
        <v>590</v>
      </c>
      <c r="C377" s="147" t="s">
        <v>105</v>
      </c>
      <c r="D377" s="104">
        <f>F377+G377+L377</f>
        <v>0</v>
      </c>
      <c r="E377" s="41"/>
      <c r="F377" s="40"/>
      <c r="G377" s="40"/>
      <c r="H377" s="39"/>
      <c r="I377" s="39"/>
      <c r="J377" s="39"/>
      <c r="K377" s="39"/>
      <c r="L377" s="40"/>
      <c r="M377" s="39"/>
      <c r="N377" s="80" t="str">
        <f>IF((F377&lt;=E305)*AND(G377&lt;=E306)*AND(L377&lt;=K307),"Выполнено","ПРОВЕРИТЬ (такое совмещение может быть следствием применения системы делегирования)")</f>
        <v>Выполнено</v>
      </c>
      <c r="O377" s="35"/>
      <c r="P377" s="109"/>
    </row>
    <row r="378" spans="2:16" ht="30">
      <c r="B378" s="144" t="s">
        <v>1139</v>
      </c>
      <c r="C378" s="145" t="s">
        <v>106</v>
      </c>
      <c r="D378" s="3">
        <f t="shared" ref="D378" si="97">SUM(D379:D381)</f>
        <v>0</v>
      </c>
      <c r="E378" s="54"/>
      <c r="F378" s="50"/>
      <c r="G378" s="50"/>
      <c r="H378" s="50"/>
      <c r="I378" s="50"/>
      <c r="J378" s="50"/>
      <c r="K378" s="50"/>
      <c r="L378" s="50"/>
      <c r="M378" s="50"/>
      <c r="N378" s="35"/>
      <c r="O378" s="80" t="str">
        <f>IF(((D378=0)),"   ","Нужно заполнить пункт 44 текстовой части - о главах, совмещающих работу в двух муниципальных образованиях")</f>
        <v xml:space="preserve">   </v>
      </c>
      <c r="P378" s="71"/>
    </row>
    <row r="379" spans="2:16">
      <c r="B379" s="144" t="s">
        <v>1140</v>
      </c>
      <c r="C379" s="145" t="s">
        <v>107</v>
      </c>
      <c r="D379" s="27"/>
      <c r="E379" s="43"/>
      <c r="F379" s="54"/>
      <c r="G379" s="54"/>
      <c r="H379" s="54"/>
      <c r="I379" s="54"/>
      <c r="J379" s="54"/>
      <c r="K379" s="54"/>
      <c r="L379" s="54"/>
      <c r="M379" s="54"/>
      <c r="N379" s="66" t="str">
        <f>IF((D379&lt;=(E347+E348))*AND(D379&lt;=D305),"Выполнено","ПРОВЕРИТЬ (такое совмещение допустимо только для глав муниципальных районов, избранных представительными органами из своего состава и возможно как одно из следствий применения системы делегирования)")</f>
        <v>Выполнено</v>
      </c>
      <c r="O379" s="35"/>
      <c r="P379" s="73"/>
    </row>
    <row r="380" spans="2:16">
      <c r="B380" s="144" t="s">
        <v>1141</v>
      </c>
      <c r="C380" s="145" t="s">
        <v>108</v>
      </c>
      <c r="D380" s="27"/>
      <c r="E380" s="43"/>
      <c r="F380" s="54"/>
      <c r="G380" s="54"/>
      <c r="H380" s="54"/>
      <c r="I380" s="54"/>
      <c r="J380" s="54"/>
      <c r="K380" s="54"/>
      <c r="L380" s="54"/>
      <c r="M380" s="54"/>
      <c r="N380" s="66" t="str">
        <f>IF((D380&lt;=(E347+E348))*AND(D380&lt;=D306),"Выполнено","ПРОВЕРИТЬ (такое совмещение допустимо только для глав муниципальных районов, избранных представительными органами из своего состава и возможно как одно из следствий применения системы делегирования)")</f>
        <v>Выполнено</v>
      </c>
      <c r="O380" s="35"/>
      <c r="P380" s="73"/>
    </row>
    <row r="381" spans="2:16" s="24" customFormat="1" ht="30">
      <c r="B381" s="144" t="s">
        <v>1142</v>
      </c>
      <c r="C381" s="145" t="s">
        <v>109</v>
      </c>
      <c r="D381" s="27"/>
      <c r="E381" s="46"/>
      <c r="F381" s="47"/>
      <c r="G381" s="47"/>
      <c r="H381" s="47"/>
      <c r="I381" s="47"/>
      <c r="J381" s="47"/>
      <c r="K381" s="47"/>
      <c r="L381" s="47"/>
      <c r="M381" s="47"/>
      <c r="N381" s="66" t="str">
        <f>IF((D381&lt;=(K347+K348))*AND(D381&lt;=D307),"Выполнено","ПРОВЕРИТЬ (такое совмещение допустимо только для глав городских округов с делением, избранных представительными органами из своего состава и возможно как одно из следствий применения системы делегирования)")</f>
        <v>Выполнено</v>
      </c>
      <c r="O381" s="35"/>
      <c r="P381" s="73"/>
    </row>
    <row r="382" spans="2:16" s="24" customFormat="1" ht="45">
      <c r="B382" s="146" t="s">
        <v>1144</v>
      </c>
      <c r="C382" s="147" t="s">
        <v>1143</v>
      </c>
      <c r="D382" s="2">
        <f>D343-D378</f>
        <v>1</v>
      </c>
      <c r="E382" s="57"/>
      <c r="F382" s="39"/>
      <c r="G382" s="39"/>
      <c r="H382" s="39"/>
      <c r="I382" s="39"/>
      <c r="J382" s="39"/>
      <c r="K382" s="39"/>
      <c r="L382" s="39"/>
      <c r="M382" s="39"/>
      <c r="N382" s="39"/>
      <c r="O382" s="58"/>
      <c r="P382" s="73"/>
    </row>
    <row r="383" spans="2:16" s="24" customFormat="1" ht="30">
      <c r="B383" s="144" t="s">
        <v>1145</v>
      </c>
      <c r="C383" s="145" t="s">
        <v>303</v>
      </c>
      <c r="D383" s="104">
        <f t="shared" ref="D383:D387" si="98">SUM(E383:I383)+SUM(K383:M383)</f>
        <v>0</v>
      </c>
      <c r="E383" s="38"/>
      <c r="F383" s="38"/>
      <c r="G383" s="38"/>
      <c r="H383" s="38"/>
      <c r="I383" s="38"/>
      <c r="J383" s="38"/>
      <c r="K383" s="38"/>
      <c r="L383" s="38"/>
      <c r="M383" s="38"/>
      <c r="N383" s="66" t="str">
        <f>IF((D383&lt;=D$343)*(E383&lt;=E$343)*AND(F383&lt;=F$343)*AND(G383&lt;=G$343)*AND(H383&lt;=H$343)*AND(I383&lt;=I$343)*AND(K383&lt;=K$343)*AND(L383&lt;=L$343)*AND(M383&lt;=M$343)*AND(J383&lt;=J$343),"Выполнено","ПРОВЕРИТЬ (таких глав муниципальных образований не может быть больше их общего числа)")</f>
        <v>Выполнено</v>
      </c>
      <c r="O383" s="80" t="str">
        <f>IF(((D383-G383=0)),"   ","Нужно заполнить пункт 55 текстовой части - о главах, временно отстраненных от должности")</f>
        <v xml:space="preserve">   </v>
      </c>
      <c r="P383" s="73"/>
    </row>
    <row r="384" spans="2:16" s="24" customFormat="1" ht="30">
      <c r="B384" s="143" t="s">
        <v>1146</v>
      </c>
      <c r="C384" s="117" t="s">
        <v>199</v>
      </c>
      <c r="D384" s="104">
        <f t="shared" si="98"/>
        <v>0</v>
      </c>
      <c r="E384" s="41">
        <f t="shared" ref="E384" si="99">E385+E386</f>
        <v>0</v>
      </c>
      <c r="F384" s="41">
        <f t="shared" ref="F384" si="100">F385+F386</f>
        <v>0</v>
      </c>
      <c r="G384" s="41">
        <f t="shared" ref="G384" si="101">G385+G386</f>
        <v>0</v>
      </c>
      <c r="H384" s="41">
        <f t="shared" ref="H384:I384" si="102">H385+H386</f>
        <v>0</v>
      </c>
      <c r="I384" s="41">
        <f t="shared" si="102"/>
        <v>0</v>
      </c>
      <c r="J384" s="41">
        <f t="shared" ref="J384" si="103">J385+J386</f>
        <v>0</v>
      </c>
      <c r="K384" s="41">
        <f t="shared" ref="K384" si="104">K385+K386</f>
        <v>0</v>
      </c>
      <c r="L384" s="41">
        <f t="shared" ref="L384" si="105">L385+L386</f>
        <v>0</v>
      </c>
      <c r="M384" s="41">
        <f t="shared" ref="M384" si="106">M385+M386</f>
        <v>0</v>
      </c>
      <c r="N384" s="35"/>
      <c r="O384" s="35"/>
      <c r="P384" s="73"/>
    </row>
    <row r="385" spans="2:16" ht="30">
      <c r="B385" s="144" t="s">
        <v>1147</v>
      </c>
      <c r="C385" s="145" t="s">
        <v>200</v>
      </c>
      <c r="D385" s="104">
        <f t="shared" si="98"/>
        <v>0</v>
      </c>
      <c r="E385" s="38"/>
      <c r="F385" s="38"/>
      <c r="G385" s="38"/>
      <c r="H385" s="38"/>
      <c r="I385" s="38"/>
      <c r="J385" s="38"/>
      <c r="K385" s="38"/>
      <c r="L385" s="38"/>
      <c r="M385" s="38"/>
      <c r="N385" s="66" t="str">
        <f>IF((D385&lt;=D$10)*AND(E385&lt;=E$10)*AND(F385&lt;=F$10)*AND(G385&lt;=G$10)*AND(H385&lt;=H$10)*AND(I385&lt;=I$10)*AND(K385&lt;=K$10)*AND(L385&lt;=L$10)*AND(M385&lt;=M$10)*AND(J385&lt;=J$10),"Выполнено","ПРОВЕРИТЬ (таких муниципальных образований не может быть больше их общего числа)")</f>
        <v>Выполнено</v>
      </c>
      <c r="O385" s="80" t="str">
        <f>IF(((D385=0)),"   ","Нужно заполнить пункт 45 текстовой части - о муниципалитетах без действующих глав")</f>
        <v xml:space="preserve">   </v>
      </c>
      <c r="P385" s="73"/>
    </row>
    <row r="386" spans="2:16" ht="45">
      <c r="B386" s="144" t="s">
        <v>1148</v>
      </c>
      <c r="C386" s="145" t="s">
        <v>301</v>
      </c>
      <c r="D386" s="104">
        <f t="shared" si="98"/>
        <v>0</v>
      </c>
      <c r="E386" s="38"/>
      <c r="F386" s="38"/>
      <c r="G386" s="38"/>
      <c r="H386" s="38"/>
      <c r="I386" s="38"/>
      <c r="J386" s="38"/>
      <c r="K386" s="38"/>
      <c r="L386" s="38"/>
      <c r="M386" s="38"/>
      <c r="N386" s="108"/>
      <c r="O386" s="80" t="str">
        <f>IF(((D386=0)),"   ","Нужно заполнить пункт 46 текстовой части - о главах муниципалитетов, находящихся в процессе преобразования")</f>
        <v xml:space="preserve">   </v>
      </c>
      <c r="P386" s="73"/>
    </row>
    <row r="387" spans="2:16" s="24" customFormat="1" ht="45">
      <c r="B387" s="144" t="s">
        <v>1149</v>
      </c>
      <c r="C387" s="145" t="s">
        <v>302</v>
      </c>
      <c r="D387" s="104">
        <f t="shared" si="98"/>
        <v>0</v>
      </c>
      <c r="E387" s="38"/>
      <c r="F387" s="38"/>
      <c r="G387" s="38"/>
      <c r="H387" s="38"/>
      <c r="I387" s="38"/>
      <c r="J387" s="38"/>
      <c r="K387" s="38"/>
      <c r="L387" s="38"/>
      <c r="M387" s="38"/>
      <c r="N387" s="108"/>
      <c r="O387" s="80" t="str">
        <f>IF(((D387=0)),"   ","Нужно заполнить пункт 46 текстовой части - о главах муниципалитетов, находящихся в процессе преобразования")</f>
        <v xml:space="preserve">   </v>
      </c>
      <c r="P387" s="73"/>
    </row>
    <row r="388" spans="2:16" s="24" customFormat="1">
      <c r="B388" s="151" t="s">
        <v>352</v>
      </c>
      <c r="C388" s="129" t="s">
        <v>5</v>
      </c>
      <c r="D388" s="84"/>
      <c r="E388" s="85"/>
      <c r="F388" s="85"/>
      <c r="G388" s="85"/>
      <c r="H388" s="85"/>
      <c r="I388" s="85"/>
      <c r="J388" s="85"/>
      <c r="K388" s="85"/>
      <c r="L388" s="85"/>
      <c r="M388" s="85"/>
      <c r="N388" s="39"/>
      <c r="O388" s="30"/>
      <c r="P388" s="109"/>
    </row>
    <row r="389" spans="2:16" s="24" customFormat="1" ht="75">
      <c r="B389" s="143" t="s">
        <v>353</v>
      </c>
      <c r="C389" s="117" t="s">
        <v>1280</v>
      </c>
      <c r="D389" s="121">
        <f>F389+G389+M389</f>
        <v>0</v>
      </c>
      <c r="E389" s="123"/>
      <c r="F389" s="121">
        <f>F390</f>
        <v>0</v>
      </c>
      <c r="G389" s="121">
        <f>G390</f>
        <v>0</v>
      </c>
      <c r="H389" s="130"/>
      <c r="I389" s="130"/>
      <c r="J389" s="124"/>
      <c r="K389" s="124"/>
      <c r="L389" s="131"/>
      <c r="M389" s="121">
        <f>M391</f>
        <v>0</v>
      </c>
      <c r="N389" s="35"/>
      <c r="O389" s="35"/>
      <c r="P389" s="73"/>
    </row>
    <row r="390" spans="2:16" s="24" customFormat="1" ht="75">
      <c r="B390" s="144" t="s">
        <v>760</v>
      </c>
      <c r="C390" s="145" t="s">
        <v>1281</v>
      </c>
      <c r="D390" s="121">
        <f>F390+G390</f>
        <v>0</v>
      </c>
      <c r="E390" s="122"/>
      <c r="F390" s="132"/>
      <c r="G390" s="132"/>
      <c r="H390" s="124"/>
      <c r="I390" s="124"/>
      <c r="J390" s="124"/>
      <c r="K390" s="124"/>
      <c r="L390" s="133"/>
      <c r="M390" s="121"/>
      <c r="N390" s="66" t="str">
        <f>IF((D390&lt;=E$10),"Выполнено","ПРОВЕРИТЬ (таких случаев возложения не может быть больше чем муниципальных районов)")</f>
        <v>Выполнено</v>
      </c>
      <c r="O390" s="80" t="str">
        <f>IF(((D390=0)),"   ","Нужно заполнить пункт 47 текстовой части - о муниципальных районах (внутригородских муниципальных образованиях), в которых не формируются местные администрации")</f>
        <v xml:space="preserve">   </v>
      </c>
      <c r="P390" s="73"/>
    </row>
    <row r="391" spans="2:16" s="105" customFormat="1" ht="60">
      <c r="B391" s="144" t="s">
        <v>761</v>
      </c>
      <c r="C391" s="145" t="s">
        <v>1151</v>
      </c>
      <c r="D391" s="121">
        <f>M391</f>
        <v>0</v>
      </c>
      <c r="E391" s="134"/>
      <c r="F391" s="135"/>
      <c r="G391" s="136"/>
      <c r="H391" s="137"/>
      <c r="I391" s="137"/>
      <c r="J391" s="137"/>
      <c r="K391" s="137"/>
      <c r="L391" s="138"/>
      <c r="M391" s="132"/>
      <c r="N391" s="120" t="str">
        <f>IF((M391&lt;=M$10),"Выполнено","ПРОВЕРИТЬ (таких муниципальных образований не может быть больше общего их числа)")</f>
        <v>Выполнено</v>
      </c>
      <c r="O391" s="111" t="str">
        <f>IF(((D391=0)),"   ","Нужно заполнить пункт 47 текстовой части - о муниципальных районах (внутригородских муниципальных образованиях), в которых не формируются местные администрации")</f>
        <v xml:space="preserve">   </v>
      </c>
      <c r="P391" s="109"/>
    </row>
    <row r="392" spans="2:16" s="105" customFormat="1" ht="45">
      <c r="B392" s="143" t="s">
        <v>1155</v>
      </c>
      <c r="C392" s="117" t="s">
        <v>1152</v>
      </c>
      <c r="D392" s="121">
        <f>F392+G392+M392</f>
        <v>0</v>
      </c>
      <c r="E392" s="123"/>
      <c r="F392" s="121">
        <f>F393</f>
        <v>0</v>
      </c>
      <c r="G392" s="121">
        <f>G393</f>
        <v>0</v>
      </c>
      <c r="H392" s="130"/>
      <c r="I392" s="130"/>
      <c r="J392" s="124"/>
      <c r="K392" s="124"/>
      <c r="L392" s="131"/>
      <c r="M392" s="121">
        <f>M394</f>
        <v>0</v>
      </c>
      <c r="N392" s="108"/>
      <c r="O392" s="108"/>
      <c r="P392" s="109"/>
    </row>
    <row r="393" spans="2:16" s="105" customFormat="1" ht="75">
      <c r="B393" s="144" t="s">
        <v>1153</v>
      </c>
      <c r="C393" s="145" t="s">
        <v>1282</v>
      </c>
      <c r="D393" s="121">
        <f>F393+G393</f>
        <v>0</v>
      </c>
      <c r="E393" s="122"/>
      <c r="F393" s="132"/>
      <c r="G393" s="132"/>
      <c r="H393" s="124"/>
      <c r="I393" s="124"/>
      <c r="J393" s="124"/>
      <c r="K393" s="124"/>
      <c r="L393" s="133"/>
      <c r="M393" s="121"/>
      <c r="N393" s="66" t="str">
        <f>IF((D393&lt;=E$10),"Выполнено","ПРОВЕРИТЬ (таких случаев возложения не может быть больше чем муниципальных районов)")</f>
        <v>Выполнено</v>
      </c>
      <c r="O393" s="111" t="str">
        <f t="shared" ref="O393:O394" si="107">IF(((D393=0)),"   ","Нужно заполнить пункт 47 текстовой части - о муниципальных районах (внутригородских муниципальных образованиях), в которых не формируются местные администрации")</f>
        <v xml:space="preserve">   </v>
      </c>
      <c r="P393" s="109"/>
    </row>
    <row r="394" spans="2:16" s="105" customFormat="1" ht="60">
      <c r="B394" s="144" t="s">
        <v>1154</v>
      </c>
      <c r="C394" s="145" t="s">
        <v>1283</v>
      </c>
      <c r="D394" s="121">
        <f>M394</f>
        <v>0</v>
      </c>
      <c r="E394" s="134"/>
      <c r="F394" s="135"/>
      <c r="G394" s="136"/>
      <c r="H394" s="137"/>
      <c r="I394" s="137"/>
      <c r="J394" s="137"/>
      <c r="K394" s="137"/>
      <c r="L394" s="138"/>
      <c r="M394" s="132"/>
      <c r="N394" s="120" t="str">
        <f>IF((M394&lt;=M$10),"Выполнено","ПРОВЕРИТЬ (таких муниципальных образований не может быть больше общего их числа)")</f>
        <v>Выполнено</v>
      </c>
      <c r="O394" s="111" t="str">
        <f t="shared" si="107"/>
        <v xml:space="preserve">   </v>
      </c>
      <c r="P394" s="109"/>
    </row>
    <row r="395" spans="2:16" s="24" customFormat="1" ht="30">
      <c r="B395" s="143" t="s">
        <v>1157</v>
      </c>
      <c r="C395" s="117" t="s">
        <v>389</v>
      </c>
      <c r="D395" s="84"/>
      <c r="E395" s="85"/>
      <c r="F395" s="85"/>
      <c r="G395" s="85"/>
      <c r="H395" s="85"/>
      <c r="I395" s="85"/>
      <c r="J395" s="85"/>
      <c r="K395" s="85"/>
      <c r="L395" s="85"/>
      <c r="M395" s="85"/>
      <c r="N395" s="39"/>
      <c r="O395" s="30"/>
      <c r="P395" s="74"/>
    </row>
    <row r="396" spans="2:16" ht="30">
      <c r="B396" s="143" t="s">
        <v>1158</v>
      </c>
      <c r="C396" s="117" t="s">
        <v>390</v>
      </c>
      <c r="D396" s="104">
        <f t="shared" ref="D396:D459" si="108">SUM(E396:I396)+SUM(K396:M396)</f>
        <v>0</v>
      </c>
      <c r="E396" s="61">
        <f t="shared" ref="E396:M396" si="109">E333-E334-E337</f>
        <v>0</v>
      </c>
      <c r="F396" s="61">
        <f t="shared" si="109"/>
        <v>0</v>
      </c>
      <c r="G396" s="61">
        <f t="shared" si="109"/>
        <v>0</v>
      </c>
      <c r="H396" s="61">
        <f t="shared" si="109"/>
        <v>0</v>
      </c>
      <c r="I396" s="61">
        <f t="shared" si="109"/>
        <v>0</v>
      </c>
      <c r="J396" s="61">
        <f t="shared" si="109"/>
        <v>0</v>
      </c>
      <c r="K396" s="61">
        <f t="shared" si="109"/>
        <v>0</v>
      </c>
      <c r="L396" s="61">
        <f t="shared" si="109"/>
        <v>0</v>
      </c>
      <c r="M396" s="61">
        <f t="shared" si="109"/>
        <v>0</v>
      </c>
      <c r="N396" s="35"/>
      <c r="O396" s="35"/>
      <c r="P396" s="74"/>
    </row>
    <row r="397" spans="2:16" ht="45">
      <c r="B397" s="163" t="s">
        <v>1159</v>
      </c>
      <c r="C397" s="117" t="s">
        <v>391</v>
      </c>
      <c r="D397" s="104">
        <f t="shared" si="108"/>
        <v>0</v>
      </c>
      <c r="E397" s="41">
        <f>E334+E337</f>
        <v>0</v>
      </c>
      <c r="F397" s="41">
        <f>F334+F337-F389</f>
        <v>0</v>
      </c>
      <c r="G397" s="41">
        <f>G334+G337-G389</f>
        <v>0</v>
      </c>
      <c r="H397" s="41">
        <f>H334+H337</f>
        <v>0</v>
      </c>
      <c r="I397" s="41">
        <f>I334+I337</f>
        <v>0</v>
      </c>
      <c r="J397" s="41">
        <f>J334+J337</f>
        <v>0</v>
      </c>
      <c r="K397" s="41">
        <f>K334+K337</f>
        <v>0</v>
      </c>
      <c r="L397" s="41">
        <f>L334+L337</f>
        <v>0</v>
      </c>
      <c r="M397" s="41">
        <f>M334+M337-M389</f>
        <v>0</v>
      </c>
      <c r="N397" s="35"/>
      <c r="O397" s="35"/>
      <c r="P397" s="74"/>
    </row>
    <row r="398" spans="2:16" ht="30">
      <c r="B398" s="143" t="s">
        <v>1156</v>
      </c>
      <c r="C398" s="117" t="s">
        <v>392</v>
      </c>
      <c r="D398" s="104">
        <f t="shared" si="108"/>
        <v>1</v>
      </c>
      <c r="E398" s="61">
        <f t="shared" ref="E398:M398" si="110">E343-E344-E347</f>
        <v>0</v>
      </c>
      <c r="F398" s="61">
        <f t="shared" si="110"/>
        <v>0</v>
      </c>
      <c r="G398" s="61">
        <f t="shared" si="110"/>
        <v>1</v>
      </c>
      <c r="H398" s="61">
        <f t="shared" si="110"/>
        <v>0</v>
      </c>
      <c r="I398" s="61">
        <f t="shared" si="110"/>
        <v>0</v>
      </c>
      <c r="J398" s="61">
        <f t="shared" si="110"/>
        <v>0</v>
      </c>
      <c r="K398" s="61">
        <f t="shared" si="110"/>
        <v>0</v>
      </c>
      <c r="L398" s="61">
        <f t="shared" si="110"/>
        <v>0</v>
      </c>
      <c r="M398" s="61">
        <f t="shared" si="110"/>
        <v>0</v>
      </c>
      <c r="N398" s="35"/>
      <c r="O398" s="35"/>
      <c r="P398" s="74"/>
    </row>
    <row r="399" spans="2:16" ht="45">
      <c r="B399" s="146" t="s">
        <v>1160</v>
      </c>
      <c r="C399" s="147" t="s">
        <v>386</v>
      </c>
      <c r="D399" s="104">
        <f t="shared" si="108"/>
        <v>1</v>
      </c>
      <c r="E399" s="40"/>
      <c r="F399" s="40"/>
      <c r="G399" s="40">
        <v>1</v>
      </c>
      <c r="H399" s="40"/>
      <c r="I399" s="40"/>
      <c r="J399" s="40"/>
      <c r="K399" s="40"/>
      <c r="L399" s="40"/>
      <c r="M399" s="40"/>
      <c r="N399" s="35"/>
      <c r="O399" s="35"/>
      <c r="P399" s="75"/>
    </row>
    <row r="400" spans="2:16" ht="30">
      <c r="B400" s="144" t="s">
        <v>762</v>
      </c>
      <c r="C400" s="145" t="s">
        <v>393</v>
      </c>
      <c r="D400" s="104">
        <f t="shared" si="108"/>
        <v>0</v>
      </c>
      <c r="E400" s="38"/>
      <c r="F400" s="38"/>
      <c r="G400" s="38"/>
      <c r="H400" s="38"/>
      <c r="I400" s="38"/>
      <c r="J400" s="38"/>
      <c r="K400" s="38"/>
      <c r="L400" s="38"/>
      <c r="M400" s="38"/>
      <c r="N400" s="66" t="str">
        <f>IF((D400&lt;=D399)*AND(E400&lt;=E399)*AND(F400&lt;=F399)*AND(G400&lt;=G399)*AND(H400&lt;=H399)*AND(I400&lt;=I399)*AND(K400&lt;=K399)*AND(L400&lt;=L399)*AND(M400&lt;=M399)*AND(J400&lt;=J399),"Выполнено","ПРОВЕРИТЬ (таких глав администраций не может быть больше общего числа действующих глав местных администраций)
)")</f>
        <v>Выполнено</v>
      </c>
      <c r="O400" s="116" t="str">
        <f>IF(((D400=0)),"   ","Нужно заполнить пункт 55 текстовой части - о главах, временно отстраненных от должности")</f>
        <v xml:space="preserve">   </v>
      </c>
      <c r="P400" s="73"/>
    </row>
    <row r="401" spans="2:16" ht="45">
      <c r="B401" s="144" t="s">
        <v>763</v>
      </c>
      <c r="C401" s="145" t="s">
        <v>201</v>
      </c>
      <c r="D401" s="104">
        <f t="shared" si="108"/>
        <v>0</v>
      </c>
      <c r="E401" s="38"/>
      <c r="F401" s="38"/>
      <c r="G401" s="38"/>
      <c r="H401" s="38"/>
      <c r="I401" s="38"/>
      <c r="J401" s="38"/>
      <c r="K401" s="38"/>
      <c r="L401" s="38"/>
      <c r="M401" s="38"/>
      <c r="N401" s="35"/>
      <c r="O401" s="80" t="str">
        <f>IF(((D401=0)),"   ","Нужно заполнить пункт 48 текстовой части - о вакантных должностях глав местных администраций")</f>
        <v xml:space="preserve">   </v>
      </c>
      <c r="P401" s="75"/>
    </row>
    <row r="402" spans="2:16" ht="75">
      <c r="B402" s="144" t="s">
        <v>1161</v>
      </c>
      <c r="C402" s="145" t="s">
        <v>394</v>
      </c>
      <c r="D402" s="104">
        <f t="shared" si="108"/>
        <v>0</v>
      </c>
      <c r="E402" s="38"/>
      <c r="F402" s="38"/>
      <c r="G402" s="38"/>
      <c r="H402" s="38"/>
      <c r="I402" s="38"/>
      <c r="J402" s="38"/>
      <c r="K402" s="38"/>
      <c r="L402" s="38"/>
      <c r="M402" s="38"/>
      <c r="N402" s="35"/>
      <c r="O402" s="35"/>
      <c r="P402" s="73"/>
    </row>
    <row r="403" spans="2:16" ht="45">
      <c r="B403" s="146" t="s">
        <v>592</v>
      </c>
      <c r="C403" s="147" t="s">
        <v>304</v>
      </c>
      <c r="D403" s="84"/>
      <c r="E403" s="85"/>
      <c r="F403" s="85"/>
      <c r="G403" s="85"/>
      <c r="H403" s="85"/>
      <c r="I403" s="85"/>
      <c r="J403" s="85"/>
      <c r="K403" s="85"/>
      <c r="L403" s="85"/>
      <c r="M403" s="85"/>
      <c r="N403" s="39"/>
      <c r="O403" s="30"/>
      <c r="P403" s="73"/>
    </row>
    <row r="404" spans="2:16" s="24" customFormat="1" ht="30">
      <c r="B404" s="146" t="s">
        <v>1162</v>
      </c>
      <c r="C404" s="147" t="s">
        <v>305</v>
      </c>
      <c r="D404" s="104">
        <f t="shared" si="108"/>
        <v>0</v>
      </c>
      <c r="E404" s="40"/>
      <c r="F404" s="40"/>
      <c r="G404" s="40"/>
      <c r="H404" s="40"/>
      <c r="I404" s="40"/>
      <c r="J404" s="40"/>
      <c r="K404" s="40"/>
      <c r="L404" s="40"/>
      <c r="M404" s="40"/>
      <c r="N404" s="66" t="str">
        <f>IF((D404&lt;=D$10)*AND(E404&lt;=E$10)*AND(F404&lt;=F$10)*AND(G404&lt;=G$10)*AND(H404&lt;=H$10)*AND(I404&lt;=I$10)*AND(K404&lt;=K$10)*AND(L404&lt;=L$10)*AND(M404&lt;=M$10)*AND(J404&lt;=J$10),"Выполнено","ПРОВЕРИТЬ (таких муниципальных образований не может быть больше их общего числа)")</f>
        <v>Выполнено</v>
      </c>
      <c r="O404" s="23"/>
      <c r="P404" s="73"/>
    </row>
    <row r="405" spans="2:16" s="24" customFormat="1">
      <c r="B405" s="146" t="s">
        <v>1163</v>
      </c>
      <c r="C405" s="147" t="s">
        <v>306</v>
      </c>
      <c r="D405" s="104">
        <f t="shared" si="108"/>
        <v>0</v>
      </c>
      <c r="E405" s="40"/>
      <c r="F405" s="40"/>
      <c r="G405" s="40"/>
      <c r="H405" s="40"/>
      <c r="I405" s="40"/>
      <c r="J405" s="40"/>
      <c r="K405" s="40"/>
      <c r="L405" s="40"/>
      <c r="M405" s="40"/>
      <c r="N405" s="66" t="str">
        <f>IF((D405&lt;=D$10)*AND(E405&lt;=E$10)*AND(F405&lt;=F$10)*AND(G405&lt;=G$10)*AND(H405&lt;=H$10)*AND(I405&lt;=I$10)*AND(K405&lt;=K$10)*AND(L405&lt;=L$10)*AND(M405&lt;=M$10)*AND(J405&lt;=J$10),"Выполнено","ПРОВЕРИТЬ (таких муниципальных образований не может быть больше их общего числа)")</f>
        <v>Выполнено</v>
      </c>
      <c r="O405" s="23"/>
      <c r="P405" s="73"/>
    </row>
    <row r="406" spans="2:16" s="24" customFormat="1" ht="30">
      <c r="B406" s="146" t="s">
        <v>593</v>
      </c>
      <c r="C406" s="147" t="s">
        <v>202</v>
      </c>
      <c r="D406" s="104">
        <f t="shared" si="108"/>
        <v>0</v>
      </c>
      <c r="E406" s="40"/>
      <c r="F406" s="40"/>
      <c r="G406" s="40"/>
      <c r="H406" s="40"/>
      <c r="I406" s="40"/>
      <c r="J406" s="40"/>
      <c r="K406" s="40"/>
      <c r="L406" s="40"/>
      <c r="M406" s="40"/>
      <c r="N406" s="23"/>
      <c r="O406" s="80" t="str">
        <f>IF(((D406&gt;=D404)*AND(E406&gt;=E404)*AND(F406&gt;=F404)*AND(G406&gt;=G404)*AND(H406&gt;=H404)*AND(I406&gt;=I404)*AND(K406&gt;=K404)*AND(L406&gt;=L404)*AND(M406&gt;=M404)*AND(J406&gt;=J404)),"   ","Подсказка - таких органов, как правило, должно быть больше чем муниципалитетов, в которых предусмотрено их создание.")</f>
        <v xml:space="preserve">   </v>
      </c>
      <c r="P406" s="73"/>
    </row>
    <row r="407" spans="2:16" s="24" customFormat="1" ht="30">
      <c r="B407" s="146" t="s">
        <v>1164</v>
      </c>
      <c r="C407" s="147" t="s">
        <v>203</v>
      </c>
      <c r="D407" s="104">
        <f t="shared" si="108"/>
        <v>0</v>
      </c>
      <c r="E407" s="40"/>
      <c r="F407" s="40"/>
      <c r="G407" s="40"/>
      <c r="H407" s="40"/>
      <c r="I407" s="40"/>
      <c r="J407" s="40"/>
      <c r="K407" s="40"/>
      <c r="L407" s="40"/>
      <c r="M407" s="40"/>
      <c r="N407" s="23"/>
      <c r="O407" s="80" t="str">
        <f>IF(((D407&gt;=D405)*AND(E407&gt;=E405)*AND(F407&gt;=F405)*AND(G407&gt;=G405)*AND(H407&gt;=H405)*AND(I407&gt;=I405)*AND(K407&gt;=K405)*AND(L407&gt;=L405)*AND(M407&gt;=M405)*AND(J407&gt;=J405)),"   ","Подсказка - таких органов, как правило, должно быть больше чем муниципалитетов, в которых предусмотрено их создание.")</f>
        <v xml:space="preserve">   </v>
      </c>
      <c r="P407" s="73"/>
    </row>
    <row r="408" spans="2:16" s="24" customFormat="1" ht="30">
      <c r="B408" s="143" t="s">
        <v>764</v>
      </c>
      <c r="C408" s="142" t="s">
        <v>355</v>
      </c>
      <c r="D408" s="84"/>
      <c r="E408" s="85"/>
      <c r="F408" s="85"/>
      <c r="G408" s="85"/>
      <c r="H408" s="85"/>
      <c r="I408" s="85"/>
      <c r="J408" s="85"/>
      <c r="K408" s="85"/>
      <c r="L408" s="85"/>
      <c r="M408" s="85"/>
      <c r="N408" s="39"/>
      <c r="O408" s="30"/>
      <c r="P408" s="73"/>
    </row>
    <row r="409" spans="2:16" s="24" customFormat="1" ht="45">
      <c r="B409" s="143" t="s">
        <v>765</v>
      </c>
      <c r="C409" s="117" t="s">
        <v>358</v>
      </c>
      <c r="D409" s="104">
        <f t="shared" si="108"/>
        <v>1</v>
      </c>
      <c r="E409" s="41">
        <f t="shared" ref="E409:M409" si="111">SUM(E410:E412)</f>
        <v>0</v>
      </c>
      <c r="F409" s="41">
        <f t="shared" si="111"/>
        <v>0</v>
      </c>
      <c r="G409" s="41">
        <f t="shared" si="111"/>
        <v>1</v>
      </c>
      <c r="H409" s="41">
        <f t="shared" si="111"/>
        <v>0</v>
      </c>
      <c r="I409" s="41">
        <f t="shared" si="111"/>
        <v>0</v>
      </c>
      <c r="J409" s="41">
        <f>SUM(J410:J412)</f>
        <v>0</v>
      </c>
      <c r="K409" s="41">
        <f t="shared" si="111"/>
        <v>0</v>
      </c>
      <c r="L409" s="41">
        <f t="shared" si="111"/>
        <v>0</v>
      </c>
      <c r="M409" s="41">
        <f t="shared" si="111"/>
        <v>0</v>
      </c>
      <c r="N409" s="66" t="str">
        <f>IF((D409=D$10)*AND(E409=E$10)*AND(F409=F$10)*AND(G409=G$10)*AND(H409=H$10)*AND(I409=I$10)*AND(K409=K$10)*AND(L409=L$10)*AND(M409=M$10)*AND(J409=J$10),"Выполнено","ПРОВЕРИТЬ (в сумме должно получиться общее число муниципальных образований)")</f>
        <v>Выполнено</v>
      </c>
      <c r="O409" s="35"/>
      <c r="P409" s="73"/>
    </row>
    <row r="410" spans="2:16">
      <c r="B410" s="143" t="s">
        <v>766</v>
      </c>
      <c r="C410" s="117" t="s">
        <v>359</v>
      </c>
      <c r="D410" s="104">
        <f t="shared" si="108"/>
        <v>0</v>
      </c>
      <c r="E410" s="40"/>
      <c r="F410" s="40"/>
      <c r="G410" s="40"/>
      <c r="H410" s="40"/>
      <c r="I410" s="40"/>
      <c r="J410" s="40"/>
      <c r="K410" s="40"/>
      <c r="L410" s="40"/>
      <c r="M410" s="40"/>
      <c r="N410" s="35"/>
      <c r="O410" s="35"/>
      <c r="P410" s="73"/>
    </row>
    <row r="411" spans="2:16" s="24" customFormat="1" ht="45">
      <c r="B411" s="143" t="s">
        <v>767</v>
      </c>
      <c r="C411" s="117" t="s">
        <v>360</v>
      </c>
      <c r="D411" s="104">
        <f t="shared" si="108"/>
        <v>1</v>
      </c>
      <c r="E411" s="40"/>
      <c r="F411" s="40"/>
      <c r="G411" s="40">
        <v>1</v>
      </c>
      <c r="H411" s="40"/>
      <c r="I411" s="40"/>
      <c r="J411" s="40"/>
      <c r="K411" s="40"/>
      <c r="L411" s="40"/>
      <c r="M411" s="40"/>
      <c r="N411" s="35"/>
      <c r="O411" s="35"/>
      <c r="P411" s="73"/>
    </row>
    <row r="412" spans="2:16" s="24" customFormat="1" ht="30">
      <c r="B412" s="144" t="s">
        <v>354</v>
      </c>
      <c r="C412" s="145" t="s">
        <v>395</v>
      </c>
      <c r="D412" s="104">
        <f t="shared" si="108"/>
        <v>0</v>
      </c>
      <c r="E412" s="38"/>
      <c r="F412" s="38"/>
      <c r="G412" s="40"/>
      <c r="H412" s="38"/>
      <c r="I412" s="38"/>
      <c r="J412" s="38"/>
      <c r="K412" s="38"/>
      <c r="L412" s="38"/>
      <c r="M412" s="38"/>
      <c r="N412" s="35"/>
      <c r="O412" s="80" t="str">
        <f>IF(((D412=0)),"   ","Нужно заполнить пункт 49 текстовой части - о муниципальных образованиях, в которых не урегулирован вопрос внешнего финансового контроля")</f>
        <v xml:space="preserve">   </v>
      </c>
      <c r="P412" s="73"/>
    </row>
    <row r="413" spans="2:16" s="24" customFormat="1" ht="30">
      <c r="B413" s="143" t="s">
        <v>768</v>
      </c>
      <c r="C413" s="117" t="s">
        <v>356</v>
      </c>
      <c r="D413" s="104">
        <f t="shared" si="108"/>
        <v>0</v>
      </c>
      <c r="E413" s="40"/>
      <c r="F413" s="40"/>
      <c r="G413" s="40"/>
      <c r="H413" s="40"/>
      <c r="I413" s="40"/>
      <c r="J413" s="40"/>
      <c r="K413" s="40"/>
      <c r="L413" s="40"/>
      <c r="M413" s="40"/>
      <c r="N413" s="35"/>
      <c r="O413" s="80" t="str">
        <f>IF(((D413&gt;=D410)*AND(E413&gt;=E410)*AND(F413&gt;=F410)*AND(G413&gt;=G410)*AND(H413&gt;=H410)*AND(I413&gt;=I410)*AND(K413&gt;=K410)*AND(L413&gt;=L410)*AND(M413&gt;=M410)*AND(J413&gt;=J410)),"   ","Подсказка - таких органов вряд ли может быть больше чем муниципалитетов, где предусмотрено их создание.")</f>
        <v xml:space="preserve">   </v>
      </c>
      <c r="P413" s="73"/>
    </row>
    <row r="414" spans="2:16" s="24" customFormat="1" ht="60">
      <c r="B414" s="143" t="s">
        <v>769</v>
      </c>
      <c r="C414" s="117" t="s">
        <v>405</v>
      </c>
      <c r="D414" s="104">
        <f t="shared" si="108"/>
        <v>0</v>
      </c>
      <c r="E414" s="40"/>
      <c r="F414" s="40"/>
      <c r="G414" s="40"/>
      <c r="H414" s="40"/>
      <c r="I414" s="40"/>
      <c r="J414" s="40"/>
      <c r="K414" s="40"/>
      <c r="L414" s="40"/>
      <c r="M414" s="40"/>
      <c r="N414" s="66" t="str">
        <f>IF((D414&gt;=D413)*AND(E414&gt;=E413)*AND(F414&gt;=F413)*AND(G414&gt;=G413)*AND(H414&gt;=H413)*AND(I414&gt;=I413)*AND(K414&gt;=K413)*AND(L414&gt;=L413)*AND(M414&gt;=M413)*AND(J414&gt;=J413),"Выполнено","ПРОВЕРИТЬ (количество членов коллегиальных органов, как правило, в разы больше количества самих коллегиальных органов)")</f>
        <v>Выполнено</v>
      </c>
      <c r="O414" s="35"/>
      <c r="P414" s="73"/>
    </row>
    <row r="415" spans="2:16" s="24" customFormat="1">
      <c r="B415" s="143" t="s">
        <v>770</v>
      </c>
      <c r="C415" s="117" t="s">
        <v>241</v>
      </c>
      <c r="D415" s="104">
        <f t="shared" si="108"/>
        <v>0</v>
      </c>
      <c r="E415" s="40"/>
      <c r="F415" s="40"/>
      <c r="G415" s="40"/>
      <c r="H415" s="40"/>
      <c r="I415" s="40"/>
      <c r="J415" s="40"/>
      <c r="K415" s="40"/>
      <c r="L415" s="40"/>
      <c r="M415" s="40"/>
      <c r="N415" s="66" t="str">
        <f>IF((D415&lt;=D414)*AND(E415&lt;=E414)*AND(F415&lt;=F414)*AND(G415&lt;=G414)*AND(H415&lt;=H414)*AND(I415&lt;=I414)*AND(K415&lt;=K414)*AND(L415&lt;=L414)*AND(M415&lt;=M414)*AND(J415&lt;=J414),"Выполнено","ПРОВЕРИТЬ (значения этой строки не могут быть больше предыдущей)
)")</f>
        <v>Выполнено</v>
      </c>
      <c r="O415" s="35"/>
      <c r="P415" s="73"/>
    </row>
    <row r="416" spans="2:16" s="24" customFormat="1" ht="30">
      <c r="B416" s="151" t="s">
        <v>771</v>
      </c>
      <c r="C416" s="129" t="s">
        <v>121</v>
      </c>
      <c r="D416" s="104">
        <f t="shared" si="108"/>
        <v>1</v>
      </c>
      <c r="E416" s="41">
        <f>SUM(E417:E422)</f>
        <v>0</v>
      </c>
      <c r="F416" s="41">
        <f t="shared" ref="F416:M416" si="112">SUM(F417:F422)</f>
        <v>0</v>
      </c>
      <c r="G416" s="41">
        <f t="shared" si="112"/>
        <v>1</v>
      </c>
      <c r="H416" s="41">
        <f t="shared" si="112"/>
        <v>0</v>
      </c>
      <c r="I416" s="41">
        <f t="shared" si="112"/>
        <v>0</v>
      </c>
      <c r="J416" s="41">
        <f>SUM(J417:J422)</f>
        <v>0</v>
      </c>
      <c r="K416" s="41">
        <f t="shared" si="112"/>
        <v>0</v>
      </c>
      <c r="L416" s="41">
        <f t="shared" si="112"/>
        <v>0</v>
      </c>
      <c r="M416" s="41">
        <f t="shared" si="112"/>
        <v>0</v>
      </c>
      <c r="N416" s="35"/>
      <c r="O416" s="35"/>
      <c r="P416" s="73"/>
    </row>
    <row r="417" spans="2:16" s="24" customFormat="1" ht="30">
      <c r="B417" s="146" t="s">
        <v>117</v>
      </c>
      <c r="C417" s="147" t="s">
        <v>122</v>
      </c>
      <c r="D417" s="104">
        <f t="shared" si="108"/>
        <v>0</v>
      </c>
      <c r="E417" s="40"/>
      <c r="F417" s="40"/>
      <c r="G417" s="40"/>
      <c r="H417" s="40"/>
      <c r="I417" s="40"/>
      <c r="J417" s="40"/>
      <c r="K417" s="40"/>
      <c r="L417" s="40"/>
      <c r="M417" s="40"/>
      <c r="N417" s="35"/>
      <c r="O417" s="114"/>
      <c r="P417" s="73"/>
    </row>
    <row r="418" spans="2:16">
      <c r="B418" s="146" t="s">
        <v>772</v>
      </c>
      <c r="C418" s="147" t="s">
        <v>123</v>
      </c>
      <c r="D418" s="104">
        <f t="shared" si="108"/>
        <v>1</v>
      </c>
      <c r="E418" s="40"/>
      <c r="F418" s="40"/>
      <c r="G418" s="40">
        <v>1</v>
      </c>
      <c r="H418" s="40"/>
      <c r="I418" s="40"/>
      <c r="J418" s="40"/>
      <c r="K418" s="40"/>
      <c r="L418" s="40"/>
      <c r="M418" s="40"/>
      <c r="N418" s="35"/>
      <c r="O418" s="114"/>
      <c r="P418" s="71"/>
    </row>
    <row r="419" spans="2:16" ht="30">
      <c r="B419" s="146" t="s">
        <v>387</v>
      </c>
      <c r="C419" s="147" t="s">
        <v>124</v>
      </c>
      <c r="D419" s="104">
        <f t="shared" si="108"/>
        <v>0</v>
      </c>
      <c r="E419" s="40"/>
      <c r="F419" s="40"/>
      <c r="G419" s="40"/>
      <c r="H419" s="40"/>
      <c r="I419" s="40"/>
      <c r="J419" s="40"/>
      <c r="K419" s="40"/>
      <c r="L419" s="40"/>
      <c r="M419" s="40"/>
      <c r="N419" s="37"/>
      <c r="O419" s="114"/>
      <c r="P419" s="77"/>
    </row>
    <row r="420" spans="2:16">
      <c r="B420" s="146" t="s">
        <v>773</v>
      </c>
      <c r="C420" s="147" t="s">
        <v>125</v>
      </c>
      <c r="D420" s="104">
        <f t="shared" si="108"/>
        <v>0</v>
      </c>
      <c r="E420" s="40"/>
      <c r="F420" s="40"/>
      <c r="G420" s="40"/>
      <c r="H420" s="40"/>
      <c r="I420" s="40"/>
      <c r="J420" s="40"/>
      <c r="K420" s="40"/>
      <c r="L420" s="40"/>
      <c r="M420" s="40"/>
      <c r="N420" s="35"/>
      <c r="O420" s="114"/>
      <c r="P420" s="77"/>
    </row>
    <row r="421" spans="2:16" s="24" customFormat="1" ht="30">
      <c r="B421" s="146" t="s">
        <v>774</v>
      </c>
      <c r="C421" s="147" t="s">
        <v>126</v>
      </c>
      <c r="D421" s="104">
        <f t="shared" si="108"/>
        <v>0</v>
      </c>
      <c r="E421" s="40"/>
      <c r="F421" s="40"/>
      <c r="G421" s="40"/>
      <c r="H421" s="40"/>
      <c r="I421" s="40"/>
      <c r="J421" s="40"/>
      <c r="K421" s="40"/>
      <c r="L421" s="40"/>
      <c r="M421" s="40"/>
      <c r="N421" s="35"/>
      <c r="O421" s="114"/>
      <c r="P421" s="77"/>
    </row>
    <row r="422" spans="2:16" s="24" customFormat="1">
      <c r="B422" s="146" t="s">
        <v>775</v>
      </c>
      <c r="C422" s="147" t="s">
        <v>127</v>
      </c>
      <c r="D422" s="104">
        <f t="shared" si="108"/>
        <v>0</v>
      </c>
      <c r="E422" s="40"/>
      <c r="F422" s="40"/>
      <c r="G422" s="40"/>
      <c r="H422" s="40"/>
      <c r="I422" s="40"/>
      <c r="J422" s="40"/>
      <c r="K422" s="40"/>
      <c r="L422" s="40"/>
      <c r="M422" s="40"/>
      <c r="N422" s="35"/>
      <c r="O422" s="114"/>
      <c r="P422" s="77"/>
    </row>
    <row r="423" spans="2:16" s="24" customFormat="1" ht="45">
      <c r="B423" s="144" t="s">
        <v>388</v>
      </c>
      <c r="C423" s="145" t="s">
        <v>120</v>
      </c>
      <c r="D423" s="104">
        <f t="shared" si="108"/>
        <v>0</v>
      </c>
      <c r="E423" s="38"/>
      <c r="F423" s="38"/>
      <c r="G423" s="40"/>
      <c r="H423" s="38"/>
      <c r="I423" s="38"/>
      <c r="J423" s="38"/>
      <c r="K423" s="38"/>
      <c r="L423" s="40"/>
      <c r="M423" s="40"/>
      <c r="N423" s="66" t="str">
        <f>IF((D423&lt;=D$10)*AND(E423&lt;=E$10)*AND(F423&lt;=F$10)*AND(G423&lt;=G$10)*AND(H423&lt;=H$10)*AND(I423&lt;=I$10)*AND(K423&lt;=K$10)*AND(L423&lt;=L$10)*AND(M423&lt;=M$10)*AND(J423&lt;=J$10),"Выполнено","ПРОВЕРИТЬ (таких муниципальных образований не может быть больше их общего числа)")</f>
        <v>Выполнено</v>
      </c>
      <c r="O423" s="80" t="str">
        <f>IF(((E423+F423+H423+I423+K423=0)),"   ","Нужно заполнить пункт 50 текстовой части - о представительных органах, не имеющих статуса юридических лиц")</f>
        <v xml:space="preserve">   </v>
      </c>
      <c r="P423" s="77"/>
    </row>
    <row r="424" spans="2:16" s="24" customFormat="1" ht="30">
      <c r="B424" s="144" t="s">
        <v>776</v>
      </c>
      <c r="C424" s="145" t="s">
        <v>514</v>
      </c>
      <c r="D424" s="139">
        <f t="shared" si="108"/>
        <v>0</v>
      </c>
      <c r="E424" s="38"/>
      <c r="F424" s="38"/>
      <c r="G424" s="38"/>
      <c r="H424" s="38"/>
      <c r="I424" s="38"/>
      <c r="J424" s="38"/>
      <c r="K424" s="38"/>
      <c r="L424" s="38"/>
      <c r="M424" s="38"/>
      <c r="N424" s="66" t="str">
        <f>IF((D424&lt;=D$10)*AND(E424&lt;=E$10)*AND(F424&lt;=F$10)*AND(G424&lt;=G$10)*AND(H424&lt;=H$10)*AND(I424&lt;=I$10)*AND(K424&lt;=K$10)*AND(L424&lt;=L$10)*AND(M424&lt;=M$10)*AND(J424&lt;=J$10),"Выполнено","ПРОВЕРИТЬ (таких муниципальных образований не может быть больше их общего числа)")</f>
        <v>Выполнено</v>
      </c>
      <c r="O424" s="80" t="str">
        <f>IF(((D424-D389&lt;=0)),"   ","Нужно заполнить пункт 50 текстовой части - о местных администрациях, не имеющих статуса юридических лиц")</f>
        <v xml:space="preserve">   </v>
      </c>
      <c r="P424" s="77"/>
    </row>
    <row r="425" spans="2:16" s="24" customFormat="1" ht="30">
      <c r="B425" s="141" t="s">
        <v>511</v>
      </c>
      <c r="C425" s="142" t="s">
        <v>134</v>
      </c>
      <c r="D425" s="140"/>
      <c r="E425" s="85"/>
      <c r="F425" s="85"/>
      <c r="G425" s="85"/>
      <c r="H425" s="85"/>
      <c r="I425" s="85"/>
      <c r="J425" s="85"/>
      <c r="K425" s="85"/>
      <c r="L425" s="85"/>
      <c r="M425" s="85"/>
      <c r="N425" s="39"/>
      <c r="O425" s="30"/>
      <c r="P425" s="77"/>
    </row>
    <row r="426" spans="2:16" s="24" customFormat="1" ht="30">
      <c r="B426" s="146" t="s">
        <v>510</v>
      </c>
      <c r="C426" s="147" t="s">
        <v>385</v>
      </c>
      <c r="D426" s="139">
        <f t="shared" si="108"/>
        <v>3</v>
      </c>
      <c r="E426" s="41">
        <f t="shared" ref="E426:M426" si="113">SUM(E427:E430)</f>
        <v>0</v>
      </c>
      <c r="F426" s="41">
        <f t="shared" si="113"/>
        <v>0</v>
      </c>
      <c r="G426" s="41">
        <f t="shared" si="113"/>
        <v>3</v>
      </c>
      <c r="H426" s="41">
        <f t="shared" si="113"/>
        <v>0</v>
      </c>
      <c r="I426" s="41">
        <f t="shared" si="113"/>
        <v>0</v>
      </c>
      <c r="J426" s="41">
        <f>SUM(J427:J430)</f>
        <v>0</v>
      </c>
      <c r="K426" s="41">
        <f t="shared" si="113"/>
        <v>0</v>
      </c>
      <c r="L426" s="41">
        <f t="shared" si="113"/>
        <v>0</v>
      </c>
      <c r="M426" s="41">
        <f t="shared" si="113"/>
        <v>0</v>
      </c>
      <c r="N426" s="66" t="str">
        <f>IF((D426&gt;=D$10)*AND(E426&gt;=E$10)*AND(F426&gt;=F$10)*AND(G426&gt;=G$10)*AND(H426&gt;=H$10)*AND(I426&gt;=I$10)*AND(K426&gt;=K$10)*AND(L426&gt;=L$10)*AND(M426&gt;=M$10)*AND(J426&gt;=J$10),"Выполнено","ПРОВЕРИТЬ (служащих в муниципалитетах обычно в разы больше чем самих муниципалитетов соответствующего вида)")</f>
        <v>Выполнено</v>
      </c>
      <c r="O426" s="35"/>
      <c r="P426" s="77"/>
    </row>
    <row r="427" spans="2:16" s="24" customFormat="1" ht="30">
      <c r="B427" s="146" t="s">
        <v>512</v>
      </c>
      <c r="C427" s="147" t="s">
        <v>192</v>
      </c>
      <c r="D427" s="139">
        <f t="shared" si="108"/>
        <v>3</v>
      </c>
      <c r="E427" s="40"/>
      <c r="F427" s="40"/>
      <c r="G427" s="40">
        <v>3</v>
      </c>
      <c r="H427" s="40"/>
      <c r="I427" s="40"/>
      <c r="J427" s="40"/>
      <c r="K427" s="40"/>
      <c r="L427" s="40"/>
      <c r="M427" s="40"/>
      <c r="N427" s="35"/>
      <c r="O427" s="35"/>
      <c r="P427" s="77"/>
    </row>
    <row r="428" spans="2:16" ht="30">
      <c r="B428" s="146" t="s">
        <v>513</v>
      </c>
      <c r="C428" s="147" t="s">
        <v>382</v>
      </c>
      <c r="D428" s="139">
        <f t="shared" si="108"/>
        <v>0</v>
      </c>
      <c r="E428" s="40"/>
      <c r="F428" s="40"/>
      <c r="G428" s="40"/>
      <c r="H428" s="40"/>
      <c r="I428" s="40"/>
      <c r="J428" s="40"/>
      <c r="K428" s="40"/>
      <c r="L428" s="40"/>
      <c r="M428" s="40"/>
      <c r="N428" s="35"/>
      <c r="O428" s="35"/>
      <c r="P428" s="77"/>
    </row>
    <row r="429" spans="2:16" ht="30">
      <c r="B429" s="146" t="s">
        <v>777</v>
      </c>
      <c r="C429" s="147" t="s">
        <v>515</v>
      </c>
      <c r="D429" s="139">
        <f t="shared" si="108"/>
        <v>0</v>
      </c>
      <c r="E429" s="40"/>
      <c r="F429" s="40"/>
      <c r="G429" s="40"/>
      <c r="H429" s="40"/>
      <c r="I429" s="40"/>
      <c r="J429" s="40"/>
      <c r="K429" s="40"/>
      <c r="L429" s="40"/>
      <c r="M429" s="40"/>
      <c r="N429" s="35"/>
      <c r="O429" s="35"/>
      <c r="P429" s="77"/>
    </row>
    <row r="430" spans="2:16">
      <c r="B430" s="146" t="s">
        <v>778</v>
      </c>
      <c r="C430" s="147" t="s">
        <v>193</v>
      </c>
      <c r="D430" s="139">
        <f t="shared" si="108"/>
        <v>0</v>
      </c>
      <c r="E430" s="40"/>
      <c r="F430" s="40"/>
      <c r="G430" s="40"/>
      <c r="H430" s="40"/>
      <c r="I430" s="40"/>
      <c r="J430" s="40"/>
      <c r="K430" s="40"/>
      <c r="L430" s="40"/>
      <c r="M430" s="40"/>
      <c r="N430" s="35"/>
      <c r="O430" s="35"/>
      <c r="P430" s="77"/>
    </row>
    <row r="431" spans="2:16">
      <c r="B431" s="146" t="s">
        <v>118</v>
      </c>
      <c r="C431" s="147" t="s">
        <v>132</v>
      </c>
      <c r="D431" s="139">
        <f t="shared" si="108"/>
        <v>2</v>
      </c>
      <c r="E431" s="40"/>
      <c r="F431" s="40"/>
      <c r="G431" s="40">
        <v>2</v>
      </c>
      <c r="H431" s="40"/>
      <c r="I431" s="40"/>
      <c r="J431" s="40"/>
      <c r="K431" s="40"/>
      <c r="L431" s="40"/>
      <c r="M431" s="40"/>
      <c r="N431" s="66" t="str">
        <f>IF((D431&lt;=D426)*AND(E431&lt;=E426)*AND(F431&lt;=F426)*AND(G431&lt;=G426)*AND(H431&lt;=H426)*AND(I431&lt;=I426)*AND(K431&lt;=K426)*AND(L431&lt;=L426)*AND(M431&lt;=M426)*AND(J431&lt;=J426),"Выполнено","ПРОВЕРИТЬ (замещённых ставок не может быть больше чем предусмотрено штатным расписанием)")</f>
        <v>Выполнено</v>
      </c>
      <c r="O431" s="35"/>
      <c r="P431" s="77"/>
    </row>
    <row r="432" spans="2:16" ht="30">
      <c r="B432" s="146" t="s">
        <v>119</v>
      </c>
      <c r="C432" s="147" t="s">
        <v>1150</v>
      </c>
      <c r="D432" s="139">
        <f t="shared" si="108"/>
        <v>2</v>
      </c>
      <c r="E432" s="41">
        <f t="shared" ref="E432:M432" si="114">SUM(E433:E436)</f>
        <v>0</v>
      </c>
      <c r="F432" s="41">
        <f t="shared" si="114"/>
        <v>0</v>
      </c>
      <c r="G432" s="41">
        <f t="shared" si="114"/>
        <v>2</v>
      </c>
      <c r="H432" s="41">
        <f t="shared" si="114"/>
        <v>0</v>
      </c>
      <c r="I432" s="41">
        <f t="shared" si="114"/>
        <v>0</v>
      </c>
      <c r="J432" s="41">
        <f>SUM(J433:J436)</f>
        <v>0</v>
      </c>
      <c r="K432" s="41">
        <f t="shared" si="114"/>
        <v>0</v>
      </c>
      <c r="L432" s="41">
        <f t="shared" si="114"/>
        <v>0</v>
      </c>
      <c r="M432" s="41">
        <f t="shared" si="114"/>
        <v>0</v>
      </c>
      <c r="N432" s="80" t="str">
        <f>IF((INT(D432)=D432)*AND(INT(E432)=E432)*AND(INT(F432)=F432)*AND(INT(G432)=G432)*AND(INT(H432)=H432)*AND(INT(I432)=I432)*AND(INT(K432)=K432)*AND(INT(L432)=L432)*AND(INT(M432)=M432)*AND(INT(J432)=J432),"Выполнено","ПРОВЕРИТЬ (число фактически работающих должно быть целым)")</f>
        <v>Выполнено</v>
      </c>
      <c r="O432" s="35"/>
      <c r="P432" s="110"/>
    </row>
    <row r="433" spans="2:16" ht="30">
      <c r="B433" s="146" t="s">
        <v>357</v>
      </c>
      <c r="C433" s="147" t="s">
        <v>192</v>
      </c>
      <c r="D433" s="139">
        <f t="shared" si="108"/>
        <v>2</v>
      </c>
      <c r="E433" s="40"/>
      <c r="F433" s="40"/>
      <c r="G433" s="40">
        <v>2</v>
      </c>
      <c r="H433" s="40"/>
      <c r="I433" s="40"/>
      <c r="J433" s="40"/>
      <c r="K433" s="40"/>
      <c r="L433" s="40"/>
      <c r="M433" s="40"/>
      <c r="N433" s="111" t="str">
        <f>IF((INT(D433)=D433),"Выполнено","ПРОВЕРИТЬ (число фактически работающих должно быть целым)")</f>
        <v>Выполнено</v>
      </c>
      <c r="O433" s="35"/>
      <c r="P433" s="77"/>
    </row>
    <row r="434" spans="2:16" ht="30">
      <c r="B434" s="146" t="s">
        <v>779</v>
      </c>
      <c r="C434" s="147" t="s">
        <v>382</v>
      </c>
      <c r="D434" s="139">
        <f t="shared" si="108"/>
        <v>0</v>
      </c>
      <c r="E434" s="40"/>
      <c r="F434" s="40"/>
      <c r="G434" s="40"/>
      <c r="H434" s="40"/>
      <c r="I434" s="40"/>
      <c r="J434" s="40"/>
      <c r="K434" s="40"/>
      <c r="L434" s="40"/>
      <c r="M434" s="40"/>
      <c r="N434" s="111" t="str">
        <f>IF((INT(D434)=D434),"Выполнено","ПРОВЕРИТЬ (число фактически работающих должно быть целым)")</f>
        <v>Выполнено</v>
      </c>
      <c r="O434" s="35"/>
      <c r="P434" s="77"/>
    </row>
    <row r="435" spans="2:16" ht="30">
      <c r="B435" s="146" t="s">
        <v>780</v>
      </c>
      <c r="C435" s="147" t="s">
        <v>515</v>
      </c>
      <c r="D435" s="139">
        <f t="shared" si="108"/>
        <v>0</v>
      </c>
      <c r="E435" s="40"/>
      <c r="F435" s="40"/>
      <c r="G435" s="40"/>
      <c r="H435" s="40"/>
      <c r="I435" s="40"/>
      <c r="J435" s="40"/>
      <c r="K435" s="40"/>
      <c r="L435" s="40"/>
      <c r="M435" s="40"/>
      <c r="N435" s="111" t="str">
        <f t="shared" ref="N435:N436" si="115">IF((INT(D435)=D435),"Выполнено","ПРОВЕРИТЬ (число фактически работающих должно быть целым)")</f>
        <v>Выполнено</v>
      </c>
      <c r="O435" s="35"/>
      <c r="P435" s="77"/>
    </row>
    <row r="436" spans="2:16">
      <c r="B436" s="146" t="s">
        <v>781</v>
      </c>
      <c r="C436" s="147" t="s">
        <v>193</v>
      </c>
      <c r="D436" s="139">
        <f t="shared" si="108"/>
        <v>0</v>
      </c>
      <c r="E436" s="40"/>
      <c r="F436" s="40"/>
      <c r="G436" s="40"/>
      <c r="H436" s="40"/>
      <c r="I436" s="40"/>
      <c r="J436" s="40"/>
      <c r="K436" s="40"/>
      <c r="L436" s="40"/>
      <c r="M436" s="40"/>
      <c r="N436" s="111" t="str">
        <f t="shared" si="115"/>
        <v>Выполнено</v>
      </c>
      <c r="O436" s="35"/>
      <c r="P436" s="74"/>
    </row>
    <row r="437" spans="2:16" ht="30">
      <c r="B437" s="146" t="s">
        <v>782</v>
      </c>
      <c r="C437" s="147" t="s">
        <v>131</v>
      </c>
      <c r="D437" s="139">
        <f t="shared" si="108"/>
        <v>0</v>
      </c>
      <c r="E437" s="40"/>
      <c r="F437" s="40"/>
      <c r="G437" s="40"/>
      <c r="H437" s="40"/>
      <c r="I437" s="40"/>
      <c r="J437" s="40"/>
      <c r="K437" s="40"/>
      <c r="L437" s="40"/>
      <c r="M437" s="40"/>
      <c r="N437" s="80" t="str">
        <f>IF((INT(D437)=D437)*AND(INT(E437)=E437)*AND(INT(F437)=F437)*AND(INT(G437)=G437)*AND(INT(H437)=H437)*AND(INT(I437)=I437)*AND(INT(K437)=K437)*AND(INT(L437)=L437)*AND(INT(M437)=M437)*AND(INT(J437)=J437),"Выполнено","ПРОВЕРИТЬ (число отсутствующих работников должно быть целым)")</f>
        <v>Выполнено</v>
      </c>
      <c r="O437" s="35"/>
      <c r="P437" s="74"/>
    </row>
    <row r="438" spans="2:16" ht="105">
      <c r="B438" s="141" t="s">
        <v>18</v>
      </c>
      <c r="C438" s="142" t="s">
        <v>1284</v>
      </c>
      <c r="D438" s="84"/>
      <c r="E438" s="85"/>
      <c r="F438" s="85"/>
      <c r="G438" s="85"/>
      <c r="H438" s="85"/>
      <c r="I438" s="85"/>
      <c r="J438" s="85"/>
      <c r="K438" s="85"/>
      <c r="L438" s="85"/>
      <c r="M438" s="85"/>
      <c r="N438" s="39"/>
      <c r="O438" s="30"/>
      <c r="P438" s="74"/>
    </row>
    <row r="439" spans="2:16" ht="45">
      <c r="B439" s="143" t="s">
        <v>6</v>
      </c>
      <c r="C439" s="117" t="s">
        <v>516</v>
      </c>
      <c r="D439" s="104">
        <f t="shared" si="108"/>
        <v>3</v>
      </c>
      <c r="E439" s="40"/>
      <c r="F439" s="40"/>
      <c r="G439" s="40">
        <v>3</v>
      </c>
      <c r="H439" s="40"/>
      <c r="I439" s="40"/>
      <c r="J439" s="40"/>
      <c r="K439" s="40"/>
      <c r="L439" s="40"/>
      <c r="M439" s="40"/>
      <c r="N439" s="80" t="str">
        <f>IF((INT(D439)=D439)*AND(INT(E439)=E439)*AND(INT(F439)=F439)*AND(INT(G439)=G439)*AND(INT(H439)=H439)*AND(INT(I439)=I439)*AND(INT(K439)=K439)*AND(INT(L439)=L439)*AND(INT(M439)=M439)*AND(INT(J439)=J439),"Выполнено","ПРОВЕРИТЬ (число должностей должно быть целым)")</f>
        <v>Выполнено</v>
      </c>
      <c r="O439" s="35"/>
      <c r="P439" s="77"/>
    </row>
    <row r="440" spans="2:16">
      <c r="B440" s="144" t="s">
        <v>128</v>
      </c>
      <c r="C440" s="145" t="s">
        <v>137</v>
      </c>
      <c r="D440" s="104">
        <f t="shared" si="108"/>
        <v>0</v>
      </c>
      <c r="E440" s="38"/>
      <c r="F440" s="38"/>
      <c r="G440" s="38"/>
      <c r="H440" s="38"/>
      <c r="I440" s="38"/>
      <c r="J440" s="38"/>
      <c r="K440" s="38"/>
      <c r="L440" s="38"/>
      <c r="M440" s="38"/>
      <c r="N440" s="66" t="str">
        <f>IF((D440&lt;=D439)*AND(E440&lt;=E439)*AND(F440&lt;=F439)*AND(G440&lt;=G439)*AND(H440&lt;=H439)*AND(I440&lt;=I439)*AND(K440&lt;=K439)*AND(L440&lt;=L439)*AND(M440&lt;=M439)*AND(J440&lt;=J439),"Выполнено","ПРОВЕРИТЬ (замещённых должностей не может быть больше чем предусмотрено штатным расписанием)")</f>
        <v>Выполнено</v>
      </c>
      <c r="O440" s="80" t="str">
        <f>IF(((D440=0)),"   ","Нужно заполнить пункт 51 текстовой части - об иных должностных лицах местного самоуправления")</f>
        <v xml:space="preserve">   </v>
      </c>
      <c r="P440" s="77"/>
    </row>
    <row r="441" spans="2:16" ht="30">
      <c r="B441" s="143" t="s">
        <v>129</v>
      </c>
      <c r="C441" s="117" t="s">
        <v>517</v>
      </c>
      <c r="D441" s="104">
        <f t="shared" si="108"/>
        <v>3</v>
      </c>
      <c r="E441" s="40"/>
      <c r="F441" s="40"/>
      <c r="G441" s="40">
        <v>3</v>
      </c>
      <c r="H441" s="40"/>
      <c r="I441" s="40"/>
      <c r="J441" s="40"/>
      <c r="K441" s="40"/>
      <c r="L441" s="40"/>
      <c r="M441" s="40"/>
      <c r="N441" s="32"/>
      <c r="O441" s="32"/>
      <c r="P441" s="77"/>
    </row>
    <row r="442" spans="2:16" s="105" customFormat="1">
      <c r="B442" s="143" t="s">
        <v>783</v>
      </c>
      <c r="C442" s="117" t="s">
        <v>130</v>
      </c>
      <c r="D442" s="104">
        <f t="shared" si="108"/>
        <v>2</v>
      </c>
      <c r="E442" s="40"/>
      <c r="F442" s="40"/>
      <c r="G442" s="40">
        <v>2</v>
      </c>
      <c r="H442" s="40"/>
      <c r="I442" s="40"/>
      <c r="J442" s="40"/>
      <c r="K442" s="40"/>
      <c r="L442" s="40"/>
      <c r="M442" s="40"/>
      <c r="N442" s="66" t="str">
        <f>IF((D442&lt;=D441)*AND(E442&lt;=E441)*AND(F442&lt;=F441)*AND(G442&lt;=G441)*AND(H442&lt;=H441)*AND(I442&lt;=I441)*AND(K442&lt;=K441)*AND(L442&lt;=L441)*AND(M442&lt;=M441)*AND(J442&lt;=J441),"Выполнено","ПРОВЕРИТЬ (замещённых ставок не может быть больше чем предусмотрено штатным расписанием)")</f>
        <v>Выполнено</v>
      </c>
      <c r="O442" s="32"/>
      <c r="P442" s="110"/>
    </row>
    <row r="443" spans="2:16" s="105" customFormat="1" ht="30">
      <c r="B443" s="144" t="s">
        <v>784</v>
      </c>
      <c r="C443" s="145" t="s">
        <v>785</v>
      </c>
      <c r="D443" s="104">
        <f t="shared" si="108"/>
        <v>0</v>
      </c>
      <c r="E443" s="38"/>
      <c r="F443" s="38"/>
      <c r="G443" s="38"/>
      <c r="H443" s="38"/>
      <c r="I443" s="38"/>
      <c r="J443" s="38"/>
      <c r="K443" s="38"/>
      <c r="L443" s="38"/>
      <c r="M443" s="38"/>
      <c r="N443" s="80" t="str">
        <f>IF((INT(D443)=D443)*AND(INT(E443)=E443)*AND(INT(F443)=F443)*AND(INT(G443)=G443)*AND(INT(H443)=H443)*AND(INT(I443)=I443)*AND(INT(K443)=K443)*AND(INT(L443)=L443)*AND(INT(M443)=M443)*AND(INT(J443)=J443),"Выполнено","ПРОВЕРИТЬ (число фактически работающих должно быть целым)")</f>
        <v>Выполнено</v>
      </c>
      <c r="O443" s="80" t="str">
        <f>IF(((D443=0)),"   ","Нужно заполнить пункт 51 текстовой части - об иных должностных лицах местного самоуправления")</f>
        <v xml:space="preserve">   </v>
      </c>
      <c r="P443" s="110"/>
    </row>
    <row r="444" spans="2:16" s="105" customFormat="1" ht="30">
      <c r="B444" s="146" t="s">
        <v>133</v>
      </c>
      <c r="C444" s="147" t="s">
        <v>145</v>
      </c>
      <c r="D444" s="104">
        <f t="shared" si="108"/>
        <v>0</v>
      </c>
      <c r="E444" s="40"/>
      <c r="F444" s="40"/>
      <c r="G444" s="40"/>
      <c r="H444" s="40"/>
      <c r="I444" s="40"/>
      <c r="J444" s="40"/>
      <c r="K444" s="40"/>
      <c r="L444" s="40"/>
      <c r="M444" s="40"/>
      <c r="N444" s="80" t="str">
        <f>IF((INT(D444)=D444)*AND(INT(E444)=E444)*AND(INT(F444)=F444)*AND(INT(G444)=G444)*AND(INT(H444)=H444)*AND(INT(I444)=I444)*AND(INT(K444)=K444)*AND(INT(L444)=L444)*AND(INT(M444)=M444)*AND(INT(J444)=J444),"Выполнено","ПРОВЕРИТЬ (число отсутствующих работников должно быть целым)")</f>
        <v>Выполнено</v>
      </c>
      <c r="O444" s="35"/>
      <c r="P444" s="110"/>
    </row>
    <row r="445" spans="2:16" ht="75">
      <c r="B445" s="151" t="s">
        <v>786</v>
      </c>
      <c r="C445" s="129" t="s">
        <v>1165</v>
      </c>
      <c r="D445" s="84"/>
      <c r="E445" s="85"/>
      <c r="F445" s="85"/>
      <c r="G445" s="85"/>
      <c r="H445" s="85"/>
      <c r="I445" s="85"/>
      <c r="J445" s="85"/>
      <c r="K445" s="85"/>
      <c r="L445" s="85"/>
      <c r="M445" s="85"/>
      <c r="N445" s="39"/>
      <c r="O445" s="30"/>
      <c r="P445" s="110"/>
    </row>
    <row r="446" spans="2:16" s="105" customFormat="1">
      <c r="B446" s="146" t="s">
        <v>136</v>
      </c>
      <c r="C446" s="147" t="s">
        <v>143</v>
      </c>
      <c r="D446" s="104">
        <f t="shared" si="108"/>
        <v>1</v>
      </c>
      <c r="E446" s="40"/>
      <c r="F446" s="40"/>
      <c r="G446" s="40">
        <v>1</v>
      </c>
      <c r="H446" s="40"/>
      <c r="I446" s="40"/>
      <c r="J446" s="40"/>
      <c r="K446" s="40"/>
      <c r="L446" s="40"/>
      <c r="M446" s="40"/>
      <c r="N446" s="35"/>
      <c r="O446" s="35"/>
      <c r="P446" s="110"/>
    </row>
    <row r="447" spans="2:16">
      <c r="B447" s="146" t="s">
        <v>21</v>
      </c>
      <c r="C447" s="147" t="s">
        <v>130</v>
      </c>
      <c r="D447" s="104">
        <f t="shared" si="108"/>
        <v>1</v>
      </c>
      <c r="E447" s="40"/>
      <c r="F447" s="40"/>
      <c r="G447" s="40">
        <v>1</v>
      </c>
      <c r="H447" s="40"/>
      <c r="I447" s="40"/>
      <c r="J447" s="40"/>
      <c r="K447" s="40"/>
      <c r="L447" s="40"/>
      <c r="M447" s="40"/>
      <c r="N447" s="66" t="str">
        <f>IF((D447&lt;=D446)*AND(E447&lt;=E446)*AND(F447&lt;=F446)*AND(G447&lt;=G446)*AND(H447&lt;=H446)*AND(I447&lt;=I446)*AND(K447&lt;=K446)*AND(L447&lt;=L446)*AND(M447&lt;=M446)*AND(J447&lt;=J446),"Выполнено","ПРОВЕРИТЬ (замещённых ставок не может быть больше чем предусмотрено штатным расписанием)")</f>
        <v>Выполнено</v>
      </c>
      <c r="O447" s="35"/>
      <c r="P447" s="75"/>
    </row>
    <row r="448" spans="2:16" s="22" customFormat="1">
      <c r="B448" s="146" t="s">
        <v>138</v>
      </c>
      <c r="C448" s="147" t="s">
        <v>787</v>
      </c>
      <c r="D448" s="104">
        <f t="shared" si="108"/>
        <v>1</v>
      </c>
      <c r="E448" s="40"/>
      <c r="F448" s="40"/>
      <c r="G448" s="40">
        <v>1</v>
      </c>
      <c r="H448" s="40"/>
      <c r="I448" s="40"/>
      <c r="J448" s="40"/>
      <c r="K448" s="40"/>
      <c r="L448" s="40"/>
      <c r="M448" s="40"/>
      <c r="N448" s="80" t="str">
        <f>IF((INT(D448)=D448)*AND(INT(E448)=E448)*AND(INT(F448)=F448)*AND(INT(G448)=G448)*AND(INT(H448)=H448)*AND(INT(I448)=I448)*AND(INT(K448)=K448)*AND(INT(L448)=L448)*AND(INT(M448)=M448)*AND(INT(J448)=J448),"Выполнено","ПРОВЕРИТЬ (число фактически работающих должно быть целым)")</f>
        <v>Выполнено</v>
      </c>
      <c r="O448" s="35"/>
      <c r="P448" s="71"/>
    </row>
    <row r="449" spans="2:16" s="22" customFormat="1" ht="30">
      <c r="B449" s="146" t="s">
        <v>144</v>
      </c>
      <c r="C449" s="147" t="s">
        <v>146</v>
      </c>
      <c r="D449" s="104">
        <f t="shared" si="108"/>
        <v>0</v>
      </c>
      <c r="E449" s="40"/>
      <c r="F449" s="40"/>
      <c r="G449" s="40"/>
      <c r="H449" s="40"/>
      <c r="I449" s="40"/>
      <c r="J449" s="40"/>
      <c r="K449" s="40"/>
      <c r="L449" s="40"/>
      <c r="M449" s="40"/>
      <c r="N449" s="80" t="str">
        <f>IF((INT(D449)=D449)*AND(INT(E449)=E449)*AND(INT(F449)=F449)*AND(INT(G449)=G449)*AND(INT(H449)=H449)*AND(INT(I449)=I449)*AND(INT(K449)=K449)*AND(INT(L449)=L449)*AND(INT(M449)=M449)*AND(INT(J449)=J449),"Выполнено","ПРОВЕРИТЬ (число отсутствующих работников должно быть целым)")</f>
        <v>Выполнено</v>
      </c>
      <c r="O449" s="35"/>
      <c r="P449" s="77"/>
    </row>
    <row r="450" spans="2:16" s="22" customFormat="1" ht="45">
      <c r="B450" s="151" t="s">
        <v>547</v>
      </c>
      <c r="C450" s="129" t="s">
        <v>186</v>
      </c>
      <c r="D450" s="25"/>
      <c r="E450" s="39"/>
      <c r="F450" s="39"/>
      <c r="G450" s="39"/>
      <c r="H450" s="39"/>
      <c r="I450" s="39"/>
      <c r="J450" s="39"/>
      <c r="K450" s="39"/>
      <c r="L450" s="39"/>
      <c r="M450" s="39"/>
      <c r="N450" s="34"/>
      <c r="O450" s="34"/>
      <c r="P450" s="77"/>
    </row>
    <row r="451" spans="2:16" s="22" customFormat="1" ht="45">
      <c r="B451" s="146" t="s">
        <v>550</v>
      </c>
      <c r="C451" s="147" t="s">
        <v>1295</v>
      </c>
      <c r="D451" s="104">
        <f t="shared" si="108"/>
        <v>7</v>
      </c>
      <c r="E451" s="41">
        <f t="shared" ref="E451:M451" si="116">E275</f>
        <v>0</v>
      </c>
      <c r="F451" s="41">
        <f t="shared" si="116"/>
        <v>0</v>
      </c>
      <c r="G451" s="41">
        <f t="shared" si="116"/>
        <v>7</v>
      </c>
      <c r="H451" s="41">
        <f t="shared" si="116"/>
        <v>0</v>
      </c>
      <c r="I451" s="41">
        <f t="shared" si="116"/>
        <v>0</v>
      </c>
      <c r="J451" s="41">
        <f t="shared" si="116"/>
        <v>0</v>
      </c>
      <c r="K451" s="41">
        <f t="shared" si="116"/>
        <v>0</v>
      </c>
      <c r="L451" s="41">
        <f t="shared" si="116"/>
        <v>0</v>
      </c>
      <c r="M451" s="41">
        <f t="shared" si="116"/>
        <v>0</v>
      </c>
      <c r="N451" s="35"/>
      <c r="O451" s="35"/>
      <c r="P451" s="77"/>
    </row>
    <row r="452" spans="2:16" s="22" customFormat="1">
      <c r="B452" s="146" t="s">
        <v>788</v>
      </c>
      <c r="C452" s="147" t="s">
        <v>86</v>
      </c>
      <c r="D452" s="104">
        <f t="shared" si="108"/>
        <v>7</v>
      </c>
      <c r="E452" s="41">
        <f t="shared" ref="E452" si="117">E453+E454</f>
        <v>0</v>
      </c>
      <c r="F452" s="41">
        <f t="shared" ref="F452" si="118">F453+F454</f>
        <v>0</v>
      </c>
      <c r="G452" s="41">
        <f t="shared" ref="G452" si="119">G453+G454</f>
        <v>7</v>
      </c>
      <c r="H452" s="41">
        <f t="shared" ref="H452:I452" si="120">H453+H454</f>
        <v>0</v>
      </c>
      <c r="I452" s="41">
        <f t="shared" si="120"/>
        <v>0</v>
      </c>
      <c r="J452" s="41">
        <f t="shared" ref="J452" si="121">J453+J454</f>
        <v>0</v>
      </c>
      <c r="K452" s="41">
        <f t="shared" ref="K452" si="122">K453+K454</f>
        <v>0</v>
      </c>
      <c r="L452" s="41">
        <f t="shared" ref="L452" si="123">L453+L454</f>
        <v>0</v>
      </c>
      <c r="M452" s="41">
        <f t="shared" ref="M452" si="124">M453+M454</f>
        <v>0</v>
      </c>
      <c r="N452" s="66" t="str">
        <f>IF((D452=D451)*AND(E452=E451)*AND(F452=F451)*AND(G452=G451)*AND(H452=H451)*AND(I452=I451)*AND(K452=K451)*AND(L452=L451)*AND(M452=M451)*AND(J452=J451),"Выполнено","ПРОВЕРИТЬ (в сумме должно получиться общее количество действующих депутатов, избранных населением)")</f>
        <v>Выполнено</v>
      </c>
      <c r="O452" s="35"/>
      <c r="P452" s="77"/>
    </row>
    <row r="453" spans="2:16" s="22" customFormat="1">
      <c r="B453" s="146" t="s">
        <v>789</v>
      </c>
      <c r="C453" s="147" t="s">
        <v>87</v>
      </c>
      <c r="D453" s="104">
        <f t="shared" si="108"/>
        <v>3</v>
      </c>
      <c r="E453" s="40"/>
      <c r="F453" s="40"/>
      <c r="G453" s="40">
        <v>3</v>
      </c>
      <c r="H453" s="40"/>
      <c r="I453" s="40"/>
      <c r="J453" s="40"/>
      <c r="K453" s="40"/>
      <c r="L453" s="40"/>
      <c r="M453" s="40"/>
      <c r="N453" s="35"/>
      <c r="O453" s="35"/>
      <c r="P453" s="71"/>
    </row>
    <row r="454" spans="2:16" s="22" customFormat="1">
      <c r="B454" s="146" t="s">
        <v>790</v>
      </c>
      <c r="C454" s="147" t="s">
        <v>88</v>
      </c>
      <c r="D454" s="104">
        <f t="shared" si="108"/>
        <v>4</v>
      </c>
      <c r="E454" s="40"/>
      <c r="F454" s="40"/>
      <c r="G454" s="40">
        <v>4</v>
      </c>
      <c r="H454" s="40"/>
      <c r="I454" s="40"/>
      <c r="J454" s="40"/>
      <c r="K454" s="40"/>
      <c r="L454" s="40"/>
      <c r="M454" s="40"/>
      <c r="N454" s="35"/>
      <c r="O454" s="35"/>
      <c r="P454" s="77"/>
    </row>
    <row r="455" spans="2:16" s="22" customFormat="1">
      <c r="B455" s="146" t="s">
        <v>791</v>
      </c>
      <c r="C455" s="147" t="s">
        <v>139</v>
      </c>
      <c r="D455" s="104">
        <f t="shared" si="108"/>
        <v>7</v>
      </c>
      <c r="E455" s="41">
        <f t="shared" ref="E455:M455" si="125">SUM(E456:E458)</f>
        <v>0</v>
      </c>
      <c r="F455" s="41">
        <f t="shared" si="125"/>
        <v>0</v>
      </c>
      <c r="G455" s="41">
        <f t="shared" si="125"/>
        <v>7</v>
      </c>
      <c r="H455" s="41">
        <f t="shared" si="125"/>
        <v>0</v>
      </c>
      <c r="I455" s="41">
        <f t="shared" si="125"/>
        <v>0</v>
      </c>
      <c r="J455" s="41">
        <f>SUM(J456:J458)</f>
        <v>0</v>
      </c>
      <c r="K455" s="41">
        <f t="shared" si="125"/>
        <v>0</v>
      </c>
      <c r="L455" s="41">
        <f t="shared" si="125"/>
        <v>0</v>
      </c>
      <c r="M455" s="41">
        <f t="shared" si="125"/>
        <v>0</v>
      </c>
      <c r="N455" s="66" t="str">
        <f>IF((D455=D451)*AND(E455=E451)*AND(F455=F451)*AND(G455=G451)*AND(H455=H451)*AND(I455=I451)*AND(K455=K451)*AND(L455=L451)*AND(M455=M451)*AND(J455=J451),"Выполнено","ПРОВЕРИТЬ (в сумме должно получиться общее количество действующих депутатов, избранных населением)")</f>
        <v>Выполнено</v>
      </c>
      <c r="O455" s="35"/>
      <c r="P455" s="77"/>
    </row>
    <row r="456" spans="2:16" s="22" customFormat="1">
      <c r="B456" s="146" t="s">
        <v>792</v>
      </c>
      <c r="C456" s="147" t="s">
        <v>307</v>
      </c>
      <c r="D456" s="104">
        <f t="shared" si="108"/>
        <v>1</v>
      </c>
      <c r="E456" s="40"/>
      <c r="F456" s="40"/>
      <c r="G456" s="40">
        <v>1</v>
      </c>
      <c r="H456" s="40"/>
      <c r="I456" s="40"/>
      <c r="J456" s="40"/>
      <c r="K456" s="40"/>
      <c r="L456" s="40"/>
      <c r="M456" s="40"/>
      <c r="N456" s="35"/>
      <c r="O456" s="35"/>
      <c r="P456" s="77"/>
    </row>
    <row r="457" spans="2:16" s="22" customFormat="1">
      <c r="B457" s="146" t="s">
        <v>793</v>
      </c>
      <c r="C457" s="147" t="s">
        <v>308</v>
      </c>
      <c r="D457" s="104">
        <f t="shared" si="108"/>
        <v>6</v>
      </c>
      <c r="E457" s="40"/>
      <c r="F457" s="40"/>
      <c r="G457" s="40">
        <v>6</v>
      </c>
      <c r="H457" s="40"/>
      <c r="I457" s="40"/>
      <c r="J457" s="40"/>
      <c r="K457" s="40"/>
      <c r="L457" s="40"/>
      <c r="M457" s="40"/>
      <c r="N457" s="35"/>
      <c r="O457" s="35"/>
      <c r="P457" s="77"/>
    </row>
    <row r="458" spans="2:16" s="22" customFormat="1">
      <c r="B458" s="146" t="s">
        <v>794</v>
      </c>
      <c r="C458" s="147" t="s">
        <v>89</v>
      </c>
      <c r="D458" s="104">
        <f t="shared" si="108"/>
        <v>0</v>
      </c>
      <c r="E458" s="40"/>
      <c r="F458" s="40"/>
      <c r="G458" s="40"/>
      <c r="H458" s="40"/>
      <c r="I458" s="40"/>
      <c r="J458" s="40"/>
      <c r="K458" s="40"/>
      <c r="L458" s="40"/>
      <c r="M458" s="40"/>
      <c r="N458" s="35"/>
      <c r="O458" s="35"/>
      <c r="P458" s="74"/>
    </row>
    <row r="459" spans="2:16" s="22" customFormat="1">
      <c r="B459" s="146" t="s">
        <v>795</v>
      </c>
      <c r="C459" s="147" t="s">
        <v>309</v>
      </c>
      <c r="D459" s="104">
        <f t="shared" si="108"/>
        <v>0</v>
      </c>
      <c r="E459" s="40"/>
      <c r="F459" s="40"/>
      <c r="G459" s="40"/>
      <c r="H459" s="40"/>
      <c r="I459" s="40"/>
      <c r="J459" s="40"/>
      <c r="K459" s="40"/>
      <c r="L459" s="40"/>
      <c r="M459" s="40"/>
      <c r="N459" s="66" t="str">
        <f>IF((D459&lt;=D451)*AND(E459&lt;=E451)*AND(F459&lt;=F451)*AND(G459&lt;=G451)*AND(H459&lt;=H451)*AND(I459&lt;=I451)*AND(K459&lt;=K451)*AND(L459&lt;=L451)*AND(M459&lt;=M451)*AND(J459&lt;=J451),"Выполнено","ПРОВЕРИТЬ (их не может быть больше общего числа действующих депутатов, избранных населением)")</f>
        <v>Выполнено</v>
      </c>
      <c r="O459" s="35"/>
      <c r="P459" s="71"/>
    </row>
    <row r="460" spans="2:16" s="22" customFormat="1">
      <c r="B460" s="143" t="s">
        <v>796</v>
      </c>
      <c r="C460" s="117" t="s">
        <v>140</v>
      </c>
      <c r="D460" s="104">
        <f t="shared" ref="D460:D468" si="126">SUM(E460:I460)+SUM(K460:M460)</f>
        <v>0</v>
      </c>
      <c r="E460" s="40"/>
      <c r="F460" s="40"/>
      <c r="G460" s="40"/>
      <c r="H460" s="40"/>
      <c r="I460" s="40"/>
      <c r="J460" s="40"/>
      <c r="K460" s="40"/>
      <c r="L460" s="40"/>
      <c r="M460" s="40"/>
      <c r="N460" s="66" t="str">
        <f>IF((D460&lt;=D451)*AND(E460&lt;=E451)*AND(F460&lt;=F451)*AND(G460&lt;=G451)*AND(H460&lt;=H451)*AND(I460&lt;=I451)*AND(K460&lt;=K451)*AND(L460&lt;=L451)*AND(M460&lt;=M451)*AND(J460&lt;=J451),"Выполнено","ПРОВЕРИТЬ (их не может быть больше общего числа действующих депутатов, избранных населением)")</f>
        <v>Выполнено</v>
      </c>
      <c r="O460" s="35"/>
      <c r="P460" s="77"/>
    </row>
    <row r="461" spans="2:16" s="22" customFormat="1">
      <c r="B461" s="143" t="s">
        <v>797</v>
      </c>
      <c r="C461" s="117" t="s">
        <v>503</v>
      </c>
      <c r="D461" s="104">
        <f t="shared" si="126"/>
        <v>0</v>
      </c>
      <c r="E461" s="41">
        <f t="shared" ref="E461:M461" si="127">SUM(E462:E468)</f>
        <v>0</v>
      </c>
      <c r="F461" s="41">
        <f t="shared" si="127"/>
        <v>0</v>
      </c>
      <c r="G461" s="41">
        <v>0</v>
      </c>
      <c r="H461" s="41">
        <f t="shared" si="127"/>
        <v>0</v>
      </c>
      <c r="I461" s="41">
        <f t="shared" si="127"/>
        <v>0</v>
      </c>
      <c r="J461" s="41">
        <f>SUM(J462:J468)</f>
        <v>0</v>
      </c>
      <c r="K461" s="41">
        <f t="shared" si="127"/>
        <v>0</v>
      </c>
      <c r="L461" s="41">
        <f t="shared" si="127"/>
        <v>0</v>
      </c>
      <c r="M461" s="41">
        <f t="shared" si="127"/>
        <v>0</v>
      </c>
      <c r="N461" s="66" t="str">
        <f>IF((D461=D451)*AND(E461=E451)*AND(F461=F451)*AND(G461=G451)*AND(H461=H451)*AND(I461=I451)*AND(K461=K451)*AND(L461=L451)*AND(M461=M451)*AND(J461=J451),"Выполнено","ПРОВЕРИТЬ (в сумме должно получиться общее количество действующих депутатов, избранных населением)")</f>
        <v>ПРОВЕРИТЬ (в сумме должно получиться общее количество действующих депутатов, избранных населением)</v>
      </c>
      <c r="O461" s="35"/>
      <c r="P461" s="77"/>
    </row>
    <row r="462" spans="2:16" s="22" customFormat="1">
      <c r="B462" s="143" t="s">
        <v>798</v>
      </c>
      <c r="C462" s="117" t="s">
        <v>560</v>
      </c>
      <c r="D462" s="104">
        <f t="shared" si="126"/>
        <v>0</v>
      </c>
      <c r="E462" s="40"/>
      <c r="F462" s="40"/>
      <c r="G462" s="40"/>
      <c r="H462" s="40"/>
      <c r="I462" s="40"/>
      <c r="J462" s="40"/>
      <c r="K462" s="40"/>
      <c r="L462" s="40"/>
      <c r="M462" s="40"/>
      <c r="N462" s="32"/>
      <c r="O462" s="35"/>
      <c r="P462" s="77"/>
    </row>
    <row r="463" spans="2:16" s="22" customFormat="1">
      <c r="B463" s="143" t="s">
        <v>799</v>
      </c>
      <c r="C463" s="117" t="s">
        <v>504</v>
      </c>
      <c r="D463" s="104">
        <f t="shared" si="126"/>
        <v>0</v>
      </c>
      <c r="E463" s="40"/>
      <c r="F463" s="40"/>
      <c r="G463" s="40"/>
      <c r="H463" s="40"/>
      <c r="I463" s="40"/>
      <c r="J463" s="40"/>
      <c r="K463" s="40"/>
      <c r="L463" s="40"/>
      <c r="M463" s="40"/>
      <c r="N463" s="32"/>
      <c r="O463" s="35"/>
      <c r="P463" s="77"/>
    </row>
    <row r="464" spans="2:16" s="22" customFormat="1">
      <c r="B464" s="143" t="s">
        <v>800</v>
      </c>
      <c r="C464" s="117" t="s">
        <v>505</v>
      </c>
      <c r="D464" s="104">
        <f t="shared" si="126"/>
        <v>0</v>
      </c>
      <c r="E464" s="40"/>
      <c r="F464" s="40"/>
      <c r="G464" s="40"/>
      <c r="H464" s="40"/>
      <c r="I464" s="40"/>
      <c r="J464" s="40"/>
      <c r="K464" s="40"/>
      <c r="L464" s="40"/>
      <c r="M464" s="40"/>
      <c r="N464" s="32"/>
      <c r="O464" s="35"/>
      <c r="P464" s="77"/>
    </row>
    <row r="465" spans="2:16" s="22" customFormat="1">
      <c r="B465" s="143" t="s">
        <v>801</v>
      </c>
      <c r="C465" s="117" t="s">
        <v>1166</v>
      </c>
      <c r="D465" s="104">
        <f t="shared" si="126"/>
        <v>0</v>
      </c>
      <c r="E465" s="40"/>
      <c r="F465" s="40"/>
      <c r="G465" s="40"/>
      <c r="H465" s="40"/>
      <c r="I465" s="40"/>
      <c r="J465" s="40"/>
      <c r="K465" s="40"/>
      <c r="L465" s="40"/>
      <c r="M465" s="40"/>
      <c r="N465" s="32"/>
      <c r="O465" s="35"/>
      <c r="P465" s="77"/>
    </row>
    <row r="466" spans="2:16" s="105" customFormat="1">
      <c r="B466" s="143" t="s">
        <v>802</v>
      </c>
      <c r="C466" s="117" t="s">
        <v>1167</v>
      </c>
      <c r="D466" s="104">
        <f t="shared" si="126"/>
        <v>0</v>
      </c>
      <c r="E466" s="40"/>
      <c r="F466" s="40"/>
      <c r="G466" s="40"/>
      <c r="H466" s="40"/>
      <c r="I466" s="40"/>
      <c r="J466" s="40"/>
      <c r="K466" s="40"/>
      <c r="L466" s="40"/>
      <c r="M466" s="40"/>
      <c r="N466" s="32"/>
      <c r="O466" s="108"/>
      <c r="P466" s="110"/>
    </row>
    <row r="467" spans="2:16" s="22" customFormat="1">
      <c r="B467" s="143" t="s">
        <v>803</v>
      </c>
      <c r="C467" s="117" t="s">
        <v>507</v>
      </c>
      <c r="D467" s="104">
        <f t="shared" si="126"/>
        <v>0</v>
      </c>
      <c r="E467" s="40"/>
      <c r="F467" s="40"/>
      <c r="G467" s="40"/>
      <c r="H467" s="40"/>
      <c r="I467" s="40"/>
      <c r="J467" s="40"/>
      <c r="K467" s="40"/>
      <c r="L467" s="40"/>
      <c r="M467" s="40"/>
      <c r="N467" s="32"/>
      <c r="O467" s="35"/>
      <c r="P467" s="77"/>
    </row>
    <row r="468" spans="2:16" s="22" customFormat="1" ht="30">
      <c r="B468" s="143" t="s">
        <v>1168</v>
      </c>
      <c r="C468" s="117" t="s">
        <v>508</v>
      </c>
      <c r="D468" s="104">
        <f t="shared" si="126"/>
        <v>7</v>
      </c>
      <c r="E468" s="40"/>
      <c r="F468" s="40"/>
      <c r="G468" s="40">
        <v>7</v>
      </c>
      <c r="H468" s="40"/>
      <c r="I468" s="40"/>
      <c r="J468" s="40"/>
      <c r="K468" s="40"/>
      <c r="L468" s="40"/>
      <c r="M468" s="40"/>
      <c r="N468" s="32"/>
      <c r="O468" s="35"/>
      <c r="P468" s="77"/>
    </row>
    <row r="469" spans="2:16" s="22" customFormat="1" ht="45">
      <c r="B469" s="146" t="s">
        <v>548</v>
      </c>
      <c r="C469" s="147" t="s">
        <v>1296</v>
      </c>
      <c r="D469" s="104">
        <f>E469+K469</f>
        <v>0</v>
      </c>
      <c r="E469" s="41">
        <f>E304</f>
        <v>0</v>
      </c>
      <c r="F469" s="54"/>
      <c r="G469" s="54"/>
      <c r="H469" s="54"/>
      <c r="I469" s="54"/>
      <c r="J469" s="54"/>
      <c r="K469" s="41">
        <f>K304</f>
        <v>0</v>
      </c>
      <c r="L469" s="54"/>
      <c r="M469" s="54"/>
      <c r="N469" s="35"/>
      <c r="O469" s="35"/>
      <c r="P469" s="74"/>
    </row>
    <row r="470" spans="2:16">
      <c r="B470" s="146" t="s">
        <v>804</v>
      </c>
      <c r="C470" s="147" t="s">
        <v>86</v>
      </c>
      <c r="D470" s="104">
        <f t="shared" ref="D470:D486" si="128">E470+K470</f>
        <v>0</v>
      </c>
      <c r="E470" s="41">
        <f t="shared" ref="E470" si="129">E471+E472</f>
        <v>0</v>
      </c>
      <c r="F470" s="54"/>
      <c r="G470" s="54"/>
      <c r="H470" s="54"/>
      <c r="I470" s="54"/>
      <c r="J470" s="54"/>
      <c r="K470" s="41">
        <f t="shared" ref="K470" si="130">K471+K472</f>
        <v>0</v>
      </c>
      <c r="L470" s="54"/>
      <c r="M470" s="54"/>
      <c r="N470" s="66" t="str">
        <f>IF((E470=E469)*AND(K470=K469),"Выполнено","ПРОВЕРИТЬ (в сумме должно получиться общее количество действующих депутатов, избранных путем делегирования)")</f>
        <v>Выполнено</v>
      </c>
      <c r="O470" s="35"/>
      <c r="P470" s="77"/>
    </row>
    <row r="471" spans="2:16">
      <c r="B471" s="146" t="s">
        <v>805</v>
      </c>
      <c r="C471" s="147" t="s">
        <v>87</v>
      </c>
      <c r="D471" s="104">
        <f t="shared" si="128"/>
        <v>0</v>
      </c>
      <c r="E471" s="40"/>
      <c r="F471" s="54"/>
      <c r="G471" s="54"/>
      <c r="H471" s="54"/>
      <c r="I471" s="54"/>
      <c r="J471" s="54"/>
      <c r="K471" s="40"/>
      <c r="L471" s="54"/>
      <c r="M471" s="54"/>
      <c r="N471" s="35"/>
      <c r="O471" s="35"/>
      <c r="P471" s="77"/>
    </row>
    <row r="472" spans="2:16">
      <c r="B472" s="146" t="s">
        <v>806</v>
      </c>
      <c r="C472" s="147" t="s">
        <v>88</v>
      </c>
      <c r="D472" s="104">
        <f t="shared" si="128"/>
        <v>0</v>
      </c>
      <c r="E472" s="40"/>
      <c r="F472" s="54"/>
      <c r="G472" s="54"/>
      <c r="H472" s="54"/>
      <c r="I472" s="54"/>
      <c r="J472" s="54"/>
      <c r="K472" s="40"/>
      <c r="L472" s="54"/>
      <c r="M472" s="54"/>
      <c r="N472" s="35"/>
      <c r="O472" s="35"/>
      <c r="P472" s="77"/>
    </row>
    <row r="473" spans="2:16">
      <c r="B473" s="146" t="s">
        <v>807</v>
      </c>
      <c r="C473" s="147" t="s">
        <v>139</v>
      </c>
      <c r="D473" s="104">
        <f t="shared" si="128"/>
        <v>0</v>
      </c>
      <c r="E473" s="41">
        <f>SUM(E474:E476)</f>
        <v>0</v>
      </c>
      <c r="F473" s="54"/>
      <c r="G473" s="54"/>
      <c r="H473" s="54"/>
      <c r="I473" s="54"/>
      <c r="J473" s="54"/>
      <c r="K473" s="41">
        <f>SUM(K474:K476)</f>
        <v>0</v>
      </c>
      <c r="L473" s="54"/>
      <c r="M473" s="54"/>
      <c r="N473" s="66" t="str">
        <f>IF((E473=E469)*AND(K473=K469),"Выполнено","ПРОВЕРИТЬ (в сумме должно получиться общее количество действующих депутатов, избранных путем делегирования)")</f>
        <v>Выполнено</v>
      </c>
      <c r="O473" s="35"/>
      <c r="P473" s="77"/>
    </row>
    <row r="474" spans="2:16">
      <c r="B474" s="146" t="s">
        <v>808</v>
      </c>
      <c r="C474" s="147" t="s">
        <v>307</v>
      </c>
      <c r="D474" s="104">
        <f t="shared" si="128"/>
        <v>0</v>
      </c>
      <c r="E474" s="40"/>
      <c r="F474" s="54"/>
      <c r="G474" s="54"/>
      <c r="H474" s="54"/>
      <c r="I474" s="54"/>
      <c r="J474" s="54"/>
      <c r="K474" s="40"/>
      <c r="L474" s="54"/>
      <c r="M474" s="54"/>
      <c r="N474" s="35"/>
      <c r="O474" s="35"/>
      <c r="P474" s="77"/>
    </row>
    <row r="475" spans="2:16">
      <c r="B475" s="146" t="s">
        <v>809</v>
      </c>
      <c r="C475" s="147" t="s">
        <v>308</v>
      </c>
      <c r="D475" s="104">
        <f t="shared" si="128"/>
        <v>0</v>
      </c>
      <c r="E475" s="40"/>
      <c r="F475" s="54"/>
      <c r="G475" s="54"/>
      <c r="H475" s="54"/>
      <c r="I475" s="54"/>
      <c r="J475" s="54"/>
      <c r="K475" s="40"/>
      <c r="L475" s="54"/>
      <c r="M475" s="54"/>
      <c r="N475" s="35"/>
      <c r="O475" s="35"/>
      <c r="P475" s="77"/>
    </row>
    <row r="476" spans="2:16">
      <c r="B476" s="146" t="s">
        <v>810</v>
      </c>
      <c r="C476" s="147" t="s">
        <v>89</v>
      </c>
      <c r="D476" s="104">
        <f t="shared" si="128"/>
        <v>0</v>
      </c>
      <c r="E476" s="40"/>
      <c r="F476" s="54"/>
      <c r="G476" s="54"/>
      <c r="H476" s="54"/>
      <c r="I476" s="54"/>
      <c r="J476" s="54"/>
      <c r="K476" s="40"/>
      <c r="L476" s="54"/>
      <c r="M476" s="54"/>
      <c r="N476" s="35"/>
      <c r="O476" s="35"/>
      <c r="P476" s="77"/>
    </row>
    <row r="477" spans="2:16">
      <c r="B477" s="146" t="s">
        <v>811</v>
      </c>
      <c r="C477" s="147" t="s">
        <v>310</v>
      </c>
      <c r="D477" s="104">
        <f t="shared" si="128"/>
        <v>0</v>
      </c>
      <c r="E477" s="40"/>
      <c r="F477" s="54"/>
      <c r="G477" s="54"/>
      <c r="H477" s="54"/>
      <c r="I477" s="54"/>
      <c r="J477" s="54"/>
      <c r="K477" s="40"/>
      <c r="L477" s="54"/>
      <c r="M477" s="54"/>
      <c r="N477" s="66" t="str">
        <f>IF((E477&lt;=E469)*AND(K477&lt;=K469),"Выполнено","ПРОВЕРИТЬ (их не может быть больше общего числа действующих депутатов, избранных путем делегирования)")</f>
        <v>Выполнено</v>
      </c>
      <c r="O477" s="35"/>
      <c r="P477" s="77"/>
    </row>
    <row r="478" spans="2:16">
      <c r="B478" s="143" t="s">
        <v>812</v>
      </c>
      <c r="C478" s="117" t="s">
        <v>140</v>
      </c>
      <c r="D478" s="104">
        <f t="shared" si="128"/>
        <v>0</v>
      </c>
      <c r="E478" s="40"/>
      <c r="F478" s="54"/>
      <c r="G478" s="54"/>
      <c r="H478" s="54"/>
      <c r="I478" s="54"/>
      <c r="J478" s="54"/>
      <c r="K478" s="40"/>
      <c r="L478" s="54"/>
      <c r="M478" s="54"/>
      <c r="N478" s="66" t="str">
        <f>IF((E478&lt;=E469)*AND(K478&lt;=K469),"Выполнено","ПРОВЕРИТЬ (их не может быть больше общего числа действующих депутатов, избранных путем делегирования)")</f>
        <v>Выполнено</v>
      </c>
      <c r="O478" s="35"/>
      <c r="P478" s="77"/>
    </row>
    <row r="479" spans="2:16">
      <c r="B479" s="143" t="s">
        <v>813</v>
      </c>
      <c r="C479" s="117" t="s">
        <v>503</v>
      </c>
      <c r="D479" s="104">
        <f t="shared" si="128"/>
        <v>0</v>
      </c>
      <c r="E479" s="41">
        <f t="shared" ref="E479" si="131">SUM(E480:E486)</f>
        <v>0</v>
      </c>
      <c r="F479" s="54"/>
      <c r="G479" s="54"/>
      <c r="H479" s="54"/>
      <c r="I479" s="54"/>
      <c r="J479" s="54"/>
      <c r="K479" s="41">
        <f t="shared" ref="K479" si="132">SUM(K480:K486)</f>
        <v>0</v>
      </c>
      <c r="L479" s="54"/>
      <c r="M479" s="54"/>
      <c r="N479" s="66" t="str">
        <f>IF((E479=E469)*AND(K479=K469),"Выполнено","ПРОВЕРИТЬ (в сумме должно получиться общее количество действующих депутатов, избранных путем делегирования)")</f>
        <v>Выполнено</v>
      </c>
      <c r="O479" s="35"/>
      <c r="P479" s="77"/>
    </row>
    <row r="480" spans="2:16" s="105" customFormat="1">
      <c r="B480" s="143" t="s">
        <v>814</v>
      </c>
      <c r="C480" s="117" t="s">
        <v>560</v>
      </c>
      <c r="D480" s="104">
        <f t="shared" si="128"/>
        <v>0</v>
      </c>
      <c r="E480" s="40"/>
      <c r="F480" s="54"/>
      <c r="G480" s="54"/>
      <c r="H480" s="54"/>
      <c r="I480" s="54"/>
      <c r="J480" s="54"/>
      <c r="K480" s="40"/>
      <c r="L480" s="54"/>
      <c r="M480" s="54"/>
      <c r="N480" s="32"/>
      <c r="O480" s="35"/>
      <c r="P480" s="110"/>
    </row>
    <row r="481" spans="2:16" s="105" customFormat="1">
      <c r="B481" s="143" t="s">
        <v>815</v>
      </c>
      <c r="C481" s="117" t="s">
        <v>504</v>
      </c>
      <c r="D481" s="104">
        <f t="shared" si="128"/>
        <v>0</v>
      </c>
      <c r="E481" s="40"/>
      <c r="F481" s="54"/>
      <c r="G481" s="54"/>
      <c r="H481" s="54"/>
      <c r="I481" s="54"/>
      <c r="J481" s="54"/>
      <c r="K481" s="40"/>
      <c r="L481" s="54"/>
      <c r="M481" s="54"/>
      <c r="N481" s="32"/>
      <c r="O481" s="35"/>
      <c r="P481" s="110"/>
    </row>
    <row r="482" spans="2:16" s="105" customFormat="1">
      <c r="B482" s="143" t="s">
        <v>816</v>
      </c>
      <c r="C482" s="117" t="s">
        <v>505</v>
      </c>
      <c r="D482" s="104">
        <f t="shared" si="128"/>
        <v>0</v>
      </c>
      <c r="E482" s="40"/>
      <c r="F482" s="54"/>
      <c r="G482" s="54"/>
      <c r="H482" s="54"/>
      <c r="I482" s="54"/>
      <c r="J482" s="54"/>
      <c r="K482" s="40"/>
      <c r="L482" s="54"/>
      <c r="M482" s="54"/>
      <c r="N482" s="32"/>
      <c r="O482" s="35"/>
      <c r="P482" s="110"/>
    </row>
    <row r="483" spans="2:16" s="105" customFormat="1">
      <c r="B483" s="143" t="s">
        <v>817</v>
      </c>
      <c r="C483" s="117" t="s">
        <v>506</v>
      </c>
      <c r="D483" s="104">
        <f t="shared" si="128"/>
        <v>0</v>
      </c>
      <c r="E483" s="40"/>
      <c r="F483" s="54"/>
      <c r="G483" s="54"/>
      <c r="H483" s="54"/>
      <c r="I483" s="54"/>
      <c r="J483" s="54"/>
      <c r="K483" s="40"/>
      <c r="L483" s="54"/>
      <c r="M483" s="54"/>
      <c r="N483" s="32"/>
      <c r="O483" s="35"/>
      <c r="P483" s="110"/>
    </row>
    <row r="484" spans="2:16" s="105" customFormat="1">
      <c r="B484" s="143" t="s">
        <v>818</v>
      </c>
      <c r="C484" s="117" t="s">
        <v>1167</v>
      </c>
      <c r="D484" s="104">
        <f t="shared" si="128"/>
        <v>0</v>
      </c>
      <c r="E484" s="40"/>
      <c r="F484" s="54"/>
      <c r="G484" s="54"/>
      <c r="H484" s="54"/>
      <c r="I484" s="54"/>
      <c r="J484" s="54"/>
      <c r="K484" s="40"/>
      <c r="L484" s="54"/>
      <c r="M484" s="54"/>
      <c r="N484" s="32"/>
      <c r="O484" s="108"/>
      <c r="P484" s="110"/>
    </row>
    <row r="485" spans="2:16" s="24" customFormat="1">
      <c r="B485" s="143" t="s">
        <v>819</v>
      </c>
      <c r="C485" s="117" t="s">
        <v>507</v>
      </c>
      <c r="D485" s="104">
        <f t="shared" si="128"/>
        <v>0</v>
      </c>
      <c r="E485" s="40"/>
      <c r="F485" s="54"/>
      <c r="G485" s="54"/>
      <c r="H485" s="54"/>
      <c r="I485" s="54"/>
      <c r="J485" s="54"/>
      <c r="K485" s="40"/>
      <c r="L485" s="54"/>
      <c r="M485" s="54"/>
      <c r="N485" s="32"/>
      <c r="O485" s="35"/>
      <c r="P485" s="77"/>
    </row>
    <row r="486" spans="2:16" s="24" customFormat="1" ht="30">
      <c r="B486" s="143" t="s">
        <v>1169</v>
      </c>
      <c r="C486" s="117" t="s">
        <v>508</v>
      </c>
      <c r="D486" s="104">
        <f t="shared" si="128"/>
        <v>0</v>
      </c>
      <c r="E486" s="40"/>
      <c r="F486" s="54"/>
      <c r="G486" s="54"/>
      <c r="H486" s="54"/>
      <c r="I486" s="54"/>
      <c r="J486" s="54"/>
      <c r="K486" s="40"/>
      <c r="L486" s="54"/>
      <c r="M486" s="54"/>
      <c r="N486" s="32"/>
      <c r="O486" s="35"/>
      <c r="P486" s="77"/>
    </row>
    <row r="487" spans="2:16" s="24" customFormat="1">
      <c r="B487" s="146" t="s">
        <v>549</v>
      </c>
      <c r="C487" s="147" t="s">
        <v>1297</v>
      </c>
      <c r="D487" s="104">
        <f>SUM(E487:I487)+SUM(K487:M487)-D505</f>
        <v>1</v>
      </c>
      <c r="E487" s="41">
        <f t="shared" ref="E487:M487" si="133">E343</f>
        <v>0</v>
      </c>
      <c r="F487" s="41">
        <f t="shared" si="133"/>
        <v>0</v>
      </c>
      <c r="G487" s="41">
        <f t="shared" si="133"/>
        <v>1</v>
      </c>
      <c r="H487" s="41">
        <f t="shared" si="133"/>
        <v>0</v>
      </c>
      <c r="I487" s="41">
        <f t="shared" si="133"/>
        <v>0</v>
      </c>
      <c r="J487" s="41">
        <f t="shared" si="133"/>
        <v>0</v>
      </c>
      <c r="K487" s="41">
        <f t="shared" si="133"/>
        <v>0</v>
      </c>
      <c r="L487" s="41">
        <f t="shared" si="133"/>
        <v>0</v>
      </c>
      <c r="M487" s="41">
        <f t="shared" si="133"/>
        <v>0</v>
      </c>
      <c r="N487" s="35"/>
      <c r="O487" s="116" t="str">
        <f>IF(((D378=D505)),"   ","Подсказка - если есть т.н. главы совместители (п.13.11), контрольные соотношения по 20.3 будут корректно работать только после заполнения 20.4")</f>
        <v xml:space="preserve">   </v>
      </c>
      <c r="P487" s="77"/>
    </row>
    <row r="488" spans="2:16" s="24" customFormat="1">
      <c r="B488" s="146" t="s">
        <v>820</v>
      </c>
      <c r="C488" s="147" t="s">
        <v>86</v>
      </c>
      <c r="D488" s="104">
        <f t="shared" ref="D488:D504" si="134">SUM(E488:I488)+SUM(K488:M488)-D506</f>
        <v>1</v>
      </c>
      <c r="E488" s="41">
        <f t="shared" ref="E488" si="135">E489+E490</f>
        <v>0</v>
      </c>
      <c r="F488" s="41">
        <f t="shared" ref="F488" si="136">F489+F490</f>
        <v>0</v>
      </c>
      <c r="G488" s="41">
        <f t="shared" ref="G488" si="137">G489+G490</f>
        <v>1</v>
      </c>
      <c r="H488" s="41">
        <f t="shared" ref="H488:I488" si="138">H489+H490</f>
        <v>0</v>
      </c>
      <c r="I488" s="41">
        <f t="shared" si="138"/>
        <v>0</v>
      </c>
      <c r="J488" s="41">
        <f t="shared" ref="J488" si="139">J489+J490</f>
        <v>0</v>
      </c>
      <c r="K488" s="41">
        <f t="shared" ref="K488" si="140">K489+K490</f>
        <v>0</v>
      </c>
      <c r="L488" s="41">
        <f t="shared" ref="L488" si="141">L489+L490</f>
        <v>0</v>
      </c>
      <c r="M488" s="41">
        <f t="shared" ref="M488" si="142">M489+M490</f>
        <v>0</v>
      </c>
      <c r="N488" s="66" t="str">
        <f>IF((D488=D487)*AND(E488=E487)*AND(F488=F487)*AND(G488=G487)*AND(H488=H487)*AND(I488=I487)*AND(K488=K487)*AND(L488=L487)*AND(M488=M487)*AND(J488=J487),"Выполнено","ПРОВЕРИТЬ (в сумме должно получиться общее количество действующих глав)")</f>
        <v>Выполнено</v>
      </c>
      <c r="O488" s="35"/>
      <c r="P488" s="77"/>
    </row>
    <row r="489" spans="2:16" s="24" customFormat="1">
      <c r="B489" s="146" t="s">
        <v>821</v>
      </c>
      <c r="C489" s="147" t="s">
        <v>87</v>
      </c>
      <c r="D489" s="104">
        <f t="shared" si="134"/>
        <v>1</v>
      </c>
      <c r="E489" s="40"/>
      <c r="F489" s="40"/>
      <c r="G489" s="40">
        <v>1</v>
      </c>
      <c r="H489" s="40"/>
      <c r="I489" s="40"/>
      <c r="J489" s="40"/>
      <c r="K489" s="40"/>
      <c r="L489" s="40"/>
      <c r="M489" s="40"/>
      <c r="N489" s="35"/>
      <c r="O489" s="35"/>
      <c r="P489" s="77"/>
    </row>
    <row r="490" spans="2:16" s="24" customFormat="1">
      <c r="B490" s="146" t="s">
        <v>822</v>
      </c>
      <c r="C490" s="147" t="s">
        <v>88</v>
      </c>
      <c r="D490" s="104">
        <f t="shared" si="134"/>
        <v>0</v>
      </c>
      <c r="E490" s="40"/>
      <c r="F490" s="40"/>
      <c r="G490" s="40"/>
      <c r="H490" s="40"/>
      <c r="I490" s="40"/>
      <c r="J490" s="40"/>
      <c r="K490" s="40"/>
      <c r="L490" s="40"/>
      <c r="M490" s="40"/>
      <c r="N490" s="35"/>
      <c r="O490" s="35"/>
      <c r="P490" s="77"/>
    </row>
    <row r="491" spans="2:16" s="24" customFormat="1">
      <c r="B491" s="146" t="s">
        <v>823</v>
      </c>
      <c r="C491" s="147" t="s">
        <v>139</v>
      </c>
      <c r="D491" s="104">
        <f t="shared" si="134"/>
        <v>1</v>
      </c>
      <c r="E491" s="41">
        <f t="shared" ref="E491:M491" si="143">SUM(E492:E494)</f>
        <v>0</v>
      </c>
      <c r="F491" s="41">
        <f t="shared" si="143"/>
        <v>0</v>
      </c>
      <c r="G491" s="41">
        <f t="shared" si="143"/>
        <v>1</v>
      </c>
      <c r="H491" s="41">
        <f t="shared" si="143"/>
        <v>0</v>
      </c>
      <c r="I491" s="41">
        <f t="shared" si="143"/>
        <v>0</v>
      </c>
      <c r="J491" s="41">
        <f>SUM(J492:J494)</f>
        <v>0</v>
      </c>
      <c r="K491" s="41">
        <f t="shared" si="143"/>
        <v>0</v>
      </c>
      <c r="L491" s="41">
        <f t="shared" si="143"/>
        <v>0</v>
      </c>
      <c r="M491" s="41">
        <f t="shared" si="143"/>
        <v>0</v>
      </c>
      <c r="N491" s="66" t="str">
        <f>IF((D491=D487)*AND(E491=E487)*AND(F491=F487)*AND(G491=G487)*AND(H491=H487)*AND(I491=I487)*AND(K491=K487)*AND(L491=L487)*AND(M491=M487)*AND(J491=J487),"Выполнено","ПРОВЕРИТЬ (в сумме должно получиться общее количество действующих глав)")</f>
        <v>Выполнено</v>
      </c>
      <c r="O491" s="35"/>
      <c r="P491" s="77"/>
    </row>
    <row r="492" spans="2:16" s="24" customFormat="1">
      <c r="B492" s="146" t="s">
        <v>824</v>
      </c>
      <c r="C492" s="147" t="s">
        <v>307</v>
      </c>
      <c r="D492" s="104">
        <f t="shared" si="134"/>
        <v>0</v>
      </c>
      <c r="E492" s="40"/>
      <c r="F492" s="40"/>
      <c r="G492" s="40"/>
      <c r="H492" s="40"/>
      <c r="I492" s="40"/>
      <c r="J492" s="40"/>
      <c r="K492" s="40"/>
      <c r="L492" s="40"/>
      <c r="M492" s="40"/>
      <c r="N492" s="35"/>
      <c r="O492" s="35"/>
      <c r="P492" s="77"/>
    </row>
    <row r="493" spans="2:16" s="105" customFormat="1">
      <c r="B493" s="146" t="s">
        <v>825</v>
      </c>
      <c r="C493" s="147" t="s">
        <v>308</v>
      </c>
      <c r="D493" s="104">
        <f t="shared" si="134"/>
        <v>1</v>
      </c>
      <c r="E493" s="40"/>
      <c r="F493" s="40"/>
      <c r="G493" s="40">
        <v>1</v>
      </c>
      <c r="H493" s="40"/>
      <c r="I493" s="40"/>
      <c r="J493" s="40"/>
      <c r="K493" s="40"/>
      <c r="L493" s="40"/>
      <c r="M493" s="40"/>
      <c r="N493" s="35"/>
      <c r="O493" s="35"/>
      <c r="P493" s="110"/>
    </row>
    <row r="494" spans="2:16" s="105" customFormat="1">
      <c r="B494" s="146" t="s">
        <v>826</v>
      </c>
      <c r="C494" s="147" t="s">
        <v>89</v>
      </c>
      <c r="D494" s="104">
        <f t="shared" si="134"/>
        <v>0</v>
      </c>
      <c r="E494" s="40"/>
      <c r="F494" s="40"/>
      <c r="G494" s="40"/>
      <c r="H494" s="40"/>
      <c r="I494" s="40"/>
      <c r="J494" s="40"/>
      <c r="K494" s="40"/>
      <c r="L494" s="40"/>
      <c r="M494" s="40"/>
      <c r="N494" s="35"/>
      <c r="O494" s="35"/>
      <c r="P494" s="110"/>
    </row>
    <row r="495" spans="2:16" s="105" customFormat="1">
      <c r="B495" s="143" t="s">
        <v>827</v>
      </c>
      <c r="C495" s="147" t="s">
        <v>397</v>
      </c>
      <c r="D495" s="104">
        <f t="shared" si="134"/>
        <v>0</v>
      </c>
      <c r="E495" s="40"/>
      <c r="F495" s="40"/>
      <c r="G495" s="40"/>
      <c r="H495" s="40"/>
      <c r="I495" s="40"/>
      <c r="J495" s="40"/>
      <c r="K495" s="40"/>
      <c r="L495" s="40"/>
      <c r="M495" s="40"/>
      <c r="N495" s="66" t="str">
        <f>IF((D495&lt;=D487)*AND(E495&lt;=E487)*AND(F495&lt;=F487)*AND(G495&lt;=G487)*AND(H495&lt;=H487)*AND(I495&lt;=I487)*AND(K495&lt;=K487)*AND(L495&lt;=L487)*AND(M495&lt;=M487)*AND(J495&lt;=J487),"Выполнено","ПРОВЕРИТЬ (их не может быть больше общего числа действующих глав, избранных населением)")</f>
        <v>Выполнено</v>
      </c>
      <c r="O495" s="35"/>
      <c r="P495" s="110"/>
    </row>
    <row r="496" spans="2:16">
      <c r="B496" s="146" t="s">
        <v>828</v>
      </c>
      <c r="C496" s="147" t="s">
        <v>140</v>
      </c>
      <c r="D496" s="104">
        <f t="shared" si="134"/>
        <v>0</v>
      </c>
      <c r="E496" s="40"/>
      <c r="F496" s="40"/>
      <c r="G496" s="40"/>
      <c r="H496" s="40"/>
      <c r="I496" s="40"/>
      <c r="J496" s="40"/>
      <c r="K496" s="40"/>
      <c r="L496" s="40"/>
      <c r="M496" s="40"/>
      <c r="N496" s="66" t="str">
        <f>IF((D496&lt;=D487)*AND(E496&lt;=E487)*AND(F496&lt;=F487)*AND(G496&lt;=G487)*AND(H496&lt;=H487)*AND(I496&lt;=I487)*AND(K496&lt;=K487)*AND(L496&lt;=L487)*AND(M496&lt;=M487)*AND(J496&lt;=J487),"Выполнено","ПРОВЕРИТЬ (их не может быть больше общего числа действующих глав, избранных населением)")</f>
        <v>Выполнено</v>
      </c>
      <c r="O496" s="35"/>
      <c r="P496" s="71"/>
    </row>
    <row r="497" spans="2:16">
      <c r="B497" s="143" t="s">
        <v>829</v>
      </c>
      <c r="C497" s="117" t="s">
        <v>503</v>
      </c>
      <c r="D497" s="104">
        <f t="shared" si="134"/>
        <v>1</v>
      </c>
      <c r="E497" s="41">
        <f t="shared" ref="E497" si="144">SUM(E498:E504)</f>
        <v>0</v>
      </c>
      <c r="F497" s="41">
        <f t="shared" ref="F497" si="145">SUM(F498:F504)</f>
        <v>0</v>
      </c>
      <c r="G497" s="41">
        <f t="shared" ref="G497" si="146">SUM(G498:G504)</f>
        <v>1</v>
      </c>
      <c r="H497" s="41">
        <f t="shared" ref="H497" si="147">SUM(H498:H504)</f>
        <v>0</v>
      </c>
      <c r="I497" s="41">
        <f t="shared" ref="I497" si="148">SUM(I498:I504)</f>
        <v>0</v>
      </c>
      <c r="J497" s="41">
        <f>SUM(J498:J504)</f>
        <v>0</v>
      </c>
      <c r="K497" s="41">
        <f t="shared" ref="K497" si="149">SUM(K498:K504)</f>
        <v>0</v>
      </c>
      <c r="L497" s="41">
        <f t="shared" ref="L497" si="150">SUM(L498:L504)</f>
        <v>0</v>
      </c>
      <c r="M497" s="41">
        <f t="shared" ref="M497" si="151">SUM(M498:M504)</f>
        <v>0</v>
      </c>
      <c r="N497" s="66" t="str">
        <f>IF((D497=D487)*AND(E497=E487)*AND(F497=F487)*AND(G497=G487)*AND(H497=H487)*AND(I497=I487)*AND(K497=K487)*AND(L497=L487)*AND(M497=M487)*AND(J497=J487),"Выполнено","ПРОВЕРИТЬ (в сумме должно получиться общее количество действующих глав, избранных населением)")</f>
        <v>Выполнено</v>
      </c>
      <c r="O497" s="35"/>
      <c r="P497" s="77"/>
    </row>
    <row r="498" spans="2:16">
      <c r="B498" s="143" t="s">
        <v>830</v>
      </c>
      <c r="C498" s="117" t="s">
        <v>560</v>
      </c>
      <c r="D498" s="104">
        <f t="shared" si="134"/>
        <v>1</v>
      </c>
      <c r="E498" s="40"/>
      <c r="F498" s="40"/>
      <c r="G498" s="40">
        <v>1</v>
      </c>
      <c r="H498" s="40"/>
      <c r="I498" s="40"/>
      <c r="J498" s="40"/>
      <c r="K498" s="40"/>
      <c r="L498" s="40"/>
      <c r="M498" s="40"/>
      <c r="N498" s="32"/>
      <c r="O498" s="35"/>
      <c r="P498" s="77"/>
    </row>
    <row r="499" spans="2:16">
      <c r="B499" s="143" t="s">
        <v>831</v>
      </c>
      <c r="C499" s="117" t="s">
        <v>504</v>
      </c>
      <c r="D499" s="104">
        <f t="shared" si="134"/>
        <v>0</v>
      </c>
      <c r="E499" s="40"/>
      <c r="F499" s="40"/>
      <c r="G499" s="40"/>
      <c r="H499" s="40"/>
      <c r="I499" s="40"/>
      <c r="J499" s="40"/>
      <c r="K499" s="40"/>
      <c r="L499" s="40"/>
      <c r="M499" s="40"/>
      <c r="N499" s="32"/>
      <c r="O499" s="35"/>
      <c r="P499" s="75"/>
    </row>
    <row r="500" spans="2:16">
      <c r="B500" s="143" t="s">
        <v>832</v>
      </c>
      <c r="C500" s="117" t="s">
        <v>505</v>
      </c>
      <c r="D500" s="104">
        <f t="shared" si="134"/>
        <v>0</v>
      </c>
      <c r="E500" s="40"/>
      <c r="F500" s="40"/>
      <c r="G500" s="40"/>
      <c r="H500" s="40"/>
      <c r="I500" s="40"/>
      <c r="J500" s="40"/>
      <c r="K500" s="40"/>
      <c r="L500" s="40"/>
      <c r="M500" s="40"/>
      <c r="N500" s="32"/>
      <c r="O500" s="35"/>
      <c r="P500" s="71"/>
    </row>
    <row r="501" spans="2:16">
      <c r="B501" s="143" t="s">
        <v>833</v>
      </c>
      <c r="C501" s="117" t="s">
        <v>506</v>
      </c>
      <c r="D501" s="104">
        <f t="shared" si="134"/>
        <v>0</v>
      </c>
      <c r="E501" s="40"/>
      <c r="F501" s="40"/>
      <c r="G501" s="40"/>
      <c r="H501" s="40"/>
      <c r="I501" s="40"/>
      <c r="J501" s="40"/>
      <c r="K501" s="40"/>
      <c r="L501" s="40"/>
      <c r="M501" s="40"/>
      <c r="N501" s="32"/>
      <c r="O501" s="35"/>
      <c r="P501" s="74"/>
    </row>
    <row r="502" spans="2:16" s="105" customFormat="1">
      <c r="B502" s="143" t="s">
        <v>834</v>
      </c>
      <c r="C502" s="117" t="s">
        <v>1167</v>
      </c>
      <c r="D502" s="104">
        <f t="shared" si="134"/>
        <v>0</v>
      </c>
      <c r="E502" s="40"/>
      <c r="F502" s="40"/>
      <c r="G502" s="40"/>
      <c r="H502" s="40"/>
      <c r="I502" s="40"/>
      <c r="J502" s="40"/>
      <c r="K502" s="40"/>
      <c r="L502" s="40"/>
      <c r="M502" s="40"/>
      <c r="N502" s="32"/>
      <c r="O502" s="108"/>
      <c r="P502" s="74"/>
    </row>
    <row r="503" spans="2:16">
      <c r="B503" s="143" t="s">
        <v>835</v>
      </c>
      <c r="C503" s="117" t="s">
        <v>507</v>
      </c>
      <c r="D503" s="104">
        <f t="shared" si="134"/>
        <v>0</v>
      </c>
      <c r="E503" s="40"/>
      <c r="F503" s="40"/>
      <c r="G503" s="40"/>
      <c r="H503" s="40"/>
      <c r="I503" s="40"/>
      <c r="J503" s="40"/>
      <c r="K503" s="40"/>
      <c r="L503" s="40"/>
      <c r="M503" s="40"/>
      <c r="N503" s="32"/>
      <c r="O503" s="35"/>
      <c r="P503" s="74"/>
    </row>
    <row r="504" spans="2:16" s="24" customFormat="1" ht="30">
      <c r="B504" s="143" t="s">
        <v>1170</v>
      </c>
      <c r="C504" s="117" t="s">
        <v>508</v>
      </c>
      <c r="D504" s="104">
        <f t="shared" si="134"/>
        <v>0</v>
      </c>
      <c r="E504" s="40"/>
      <c r="F504" s="40"/>
      <c r="G504" s="40"/>
      <c r="H504" s="40"/>
      <c r="I504" s="40"/>
      <c r="J504" s="40"/>
      <c r="K504" s="40"/>
      <c r="L504" s="40"/>
      <c r="M504" s="40"/>
      <c r="N504" s="32"/>
      <c r="O504" s="35"/>
      <c r="P504" s="71"/>
    </row>
    <row r="505" spans="2:16" s="24" customFormat="1" ht="75">
      <c r="B505" s="146" t="s">
        <v>836</v>
      </c>
      <c r="C505" s="147" t="s">
        <v>141</v>
      </c>
      <c r="D505" s="2">
        <f>D378</f>
        <v>0</v>
      </c>
      <c r="E505" s="49"/>
      <c r="F505" s="50"/>
      <c r="G505" s="50"/>
      <c r="H505" s="50"/>
      <c r="I505" s="50"/>
      <c r="J505" s="51"/>
      <c r="K505" s="50"/>
      <c r="L505" s="50"/>
      <c r="M505" s="50"/>
      <c r="N505" s="35"/>
      <c r="O505" s="35"/>
      <c r="P505" s="77"/>
    </row>
    <row r="506" spans="2:16" s="24" customFormat="1">
      <c r="B506" s="146" t="s">
        <v>837</v>
      </c>
      <c r="C506" s="147" t="s">
        <v>86</v>
      </c>
      <c r="D506" s="41">
        <f t="shared" ref="D506" si="152">D507+D508</f>
        <v>0</v>
      </c>
      <c r="E506" s="43"/>
      <c r="F506" s="54"/>
      <c r="G506" s="54"/>
      <c r="H506" s="54"/>
      <c r="I506" s="54"/>
      <c r="J506" s="45"/>
      <c r="K506" s="54"/>
      <c r="L506" s="54"/>
      <c r="M506" s="54"/>
      <c r="N506" s="66" t="str">
        <f>IF((D506=D505),"Выполнено","ПРОВЕРИТЬ (в сумме должно получиться общее количество действующих глав)")</f>
        <v>Выполнено</v>
      </c>
      <c r="O506" s="35"/>
      <c r="P506" s="77"/>
    </row>
    <row r="507" spans="2:16" s="24" customFormat="1">
      <c r="B507" s="146" t="s">
        <v>838</v>
      </c>
      <c r="C507" s="147" t="s">
        <v>87</v>
      </c>
      <c r="D507" s="40"/>
      <c r="E507" s="43"/>
      <c r="F507" s="54"/>
      <c r="G507" s="54"/>
      <c r="H507" s="54"/>
      <c r="I507" s="54"/>
      <c r="J507" s="45"/>
      <c r="K507" s="54"/>
      <c r="L507" s="54"/>
      <c r="M507" s="54"/>
      <c r="N507" s="35"/>
      <c r="O507" s="35"/>
      <c r="P507" s="77"/>
    </row>
    <row r="508" spans="2:16" s="24" customFormat="1">
      <c r="B508" s="146" t="s">
        <v>839</v>
      </c>
      <c r="C508" s="147" t="s">
        <v>88</v>
      </c>
      <c r="D508" s="40"/>
      <c r="E508" s="43"/>
      <c r="F508" s="54"/>
      <c r="G508" s="54"/>
      <c r="H508" s="54"/>
      <c r="I508" s="54"/>
      <c r="J508" s="45"/>
      <c r="K508" s="54"/>
      <c r="L508" s="54"/>
      <c r="M508" s="54"/>
      <c r="N508" s="35"/>
      <c r="O508" s="35"/>
      <c r="P508" s="77"/>
    </row>
    <row r="509" spans="2:16" s="24" customFormat="1">
      <c r="B509" s="146" t="s">
        <v>840</v>
      </c>
      <c r="C509" s="147" t="s">
        <v>139</v>
      </c>
      <c r="D509" s="41">
        <f t="shared" ref="D509" si="153">SUM(D510:D512)</f>
        <v>0</v>
      </c>
      <c r="E509" s="43"/>
      <c r="F509" s="54"/>
      <c r="G509" s="54"/>
      <c r="H509" s="54"/>
      <c r="I509" s="54"/>
      <c r="J509" s="45"/>
      <c r="K509" s="54"/>
      <c r="L509" s="54"/>
      <c r="M509" s="54"/>
      <c r="N509" s="66" t="str">
        <f>IF((D509=D505),"Выполнено","ПРОВЕРИТЬ (в сумме должно получиться общее количество действующих глав)")</f>
        <v>Выполнено</v>
      </c>
      <c r="O509" s="35"/>
      <c r="P509" s="77"/>
    </row>
    <row r="510" spans="2:16" s="24" customFormat="1">
      <c r="B510" s="146" t="s">
        <v>841</v>
      </c>
      <c r="C510" s="147" t="s">
        <v>307</v>
      </c>
      <c r="D510" s="40"/>
      <c r="E510" s="43"/>
      <c r="F510" s="54"/>
      <c r="G510" s="54"/>
      <c r="H510" s="54"/>
      <c r="I510" s="54"/>
      <c r="J510" s="45"/>
      <c r="K510" s="54"/>
      <c r="L510" s="54"/>
      <c r="M510" s="54"/>
      <c r="N510" s="35"/>
      <c r="O510" s="35"/>
      <c r="P510" s="71"/>
    </row>
    <row r="511" spans="2:16" s="24" customFormat="1">
      <c r="B511" s="146" t="s">
        <v>842</v>
      </c>
      <c r="C511" s="147" t="s">
        <v>308</v>
      </c>
      <c r="D511" s="40"/>
      <c r="E511" s="43"/>
      <c r="F511" s="54"/>
      <c r="G511" s="54"/>
      <c r="H511" s="54"/>
      <c r="I511" s="54"/>
      <c r="J511" s="45"/>
      <c r="K511" s="54"/>
      <c r="L511" s="54"/>
      <c r="M511" s="54"/>
      <c r="N511" s="35"/>
      <c r="O511" s="35"/>
      <c r="P511" s="74"/>
    </row>
    <row r="512" spans="2:16" s="24" customFormat="1">
      <c r="B512" s="146" t="s">
        <v>843</v>
      </c>
      <c r="C512" s="147" t="s">
        <v>89</v>
      </c>
      <c r="D512" s="40"/>
      <c r="E512" s="43"/>
      <c r="F512" s="54"/>
      <c r="G512" s="54"/>
      <c r="H512" s="54"/>
      <c r="I512" s="54"/>
      <c r="J512" s="45"/>
      <c r="K512" s="54"/>
      <c r="L512" s="54"/>
      <c r="M512" s="54"/>
      <c r="N512" s="35"/>
      <c r="O512" s="35"/>
      <c r="P512" s="77"/>
    </row>
    <row r="513" spans="2:16" s="24" customFormat="1">
      <c r="B513" s="146" t="s">
        <v>844</v>
      </c>
      <c r="C513" s="147" t="s">
        <v>397</v>
      </c>
      <c r="D513" s="40"/>
      <c r="E513" s="43"/>
      <c r="F513" s="54"/>
      <c r="G513" s="54"/>
      <c r="H513" s="54"/>
      <c r="I513" s="54"/>
      <c r="J513" s="45"/>
      <c r="K513" s="54"/>
      <c r="L513" s="54"/>
      <c r="M513" s="54"/>
      <c r="N513" s="66" t="str">
        <f>IF((D513&lt;=D505),"Выполнено","ПРОВЕРИТЬ (их не может быть больше общего числа действующих глав)")</f>
        <v>Выполнено</v>
      </c>
      <c r="O513" s="35"/>
      <c r="P513" s="77"/>
    </row>
    <row r="514" spans="2:16">
      <c r="B514" s="146" t="s">
        <v>845</v>
      </c>
      <c r="C514" s="147" t="s">
        <v>140</v>
      </c>
      <c r="D514" s="40"/>
      <c r="E514" s="43"/>
      <c r="F514" s="54"/>
      <c r="G514" s="54"/>
      <c r="H514" s="54"/>
      <c r="I514" s="54"/>
      <c r="J514" s="45"/>
      <c r="K514" s="54"/>
      <c r="L514" s="54"/>
      <c r="M514" s="54"/>
      <c r="N514" s="66" t="str">
        <f>IF((D514&lt;=D505),"Выполнено","ПРОВЕРИТЬ (их не может быть больше общего числа действующих глав)")</f>
        <v>Выполнено</v>
      </c>
      <c r="O514" s="35"/>
      <c r="P514" s="78"/>
    </row>
    <row r="515" spans="2:16">
      <c r="B515" s="143" t="s">
        <v>846</v>
      </c>
      <c r="C515" s="117" t="s">
        <v>503</v>
      </c>
      <c r="D515" s="41">
        <f t="shared" ref="D515" si="154">SUM(D516:D522)</f>
        <v>0</v>
      </c>
      <c r="E515" s="43"/>
      <c r="F515" s="54"/>
      <c r="G515" s="54"/>
      <c r="H515" s="54"/>
      <c r="I515" s="54"/>
      <c r="J515" s="45"/>
      <c r="K515" s="54"/>
      <c r="L515" s="54"/>
      <c r="M515" s="54"/>
      <c r="N515" s="66" t="str">
        <f>IF((D515=D505),"Выполнено","ПРОВЕРИТЬ (в сумме должно получиться общее количество действующих глав)")</f>
        <v>Выполнено</v>
      </c>
      <c r="O515" s="35"/>
      <c r="P515" s="78"/>
    </row>
    <row r="516" spans="2:16" s="24" customFormat="1">
      <c r="B516" s="143" t="s">
        <v>847</v>
      </c>
      <c r="C516" s="117" t="s">
        <v>560</v>
      </c>
      <c r="D516" s="40"/>
      <c r="E516" s="43"/>
      <c r="F516" s="54"/>
      <c r="G516" s="54"/>
      <c r="H516" s="54"/>
      <c r="I516" s="54"/>
      <c r="J516" s="45"/>
      <c r="K516" s="54"/>
      <c r="L516" s="54"/>
      <c r="M516" s="54"/>
      <c r="N516" s="32"/>
      <c r="O516" s="35"/>
      <c r="P516" s="75"/>
    </row>
    <row r="517" spans="2:16">
      <c r="B517" s="143" t="s">
        <v>848</v>
      </c>
      <c r="C517" s="117" t="s">
        <v>504</v>
      </c>
      <c r="D517" s="40"/>
      <c r="E517" s="43"/>
      <c r="F517" s="54"/>
      <c r="G517" s="54"/>
      <c r="H517" s="54"/>
      <c r="I517" s="54"/>
      <c r="J517" s="45"/>
      <c r="K517" s="54"/>
      <c r="L517" s="54"/>
      <c r="M517" s="54"/>
      <c r="N517" s="32"/>
      <c r="O517" s="35"/>
      <c r="P517" s="71"/>
    </row>
    <row r="518" spans="2:16">
      <c r="B518" s="143" t="s">
        <v>849</v>
      </c>
      <c r="C518" s="117" t="s">
        <v>505</v>
      </c>
      <c r="D518" s="40"/>
      <c r="E518" s="43"/>
      <c r="F518" s="54"/>
      <c r="G518" s="54"/>
      <c r="H518" s="54"/>
      <c r="I518" s="54"/>
      <c r="J518" s="45"/>
      <c r="K518" s="54"/>
      <c r="L518" s="54"/>
      <c r="M518" s="54"/>
      <c r="N518" s="32"/>
      <c r="O518" s="35"/>
      <c r="P518" s="77"/>
    </row>
    <row r="519" spans="2:16">
      <c r="B519" s="143" t="s">
        <v>850</v>
      </c>
      <c r="C519" s="117" t="s">
        <v>506</v>
      </c>
      <c r="D519" s="40"/>
      <c r="E519" s="43"/>
      <c r="F519" s="54"/>
      <c r="G519" s="54"/>
      <c r="H519" s="54"/>
      <c r="I519" s="54"/>
      <c r="J519" s="45"/>
      <c r="K519" s="54"/>
      <c r="L519" s="54"/>
      <c r="M519" s="54"/>
      <c r="N519" s="32"/>
      <c r="O519" s="35"/>
      <c r="P519" s="77"/>
    </row>
    <row r="520" spans="2:16" s="105" customFormat="1">
      <c r="B520" s="143" t="s">
        <v>851</v>
      </c>
      <c r="C520" s="117" t="s">
        <v>1167</v>
      </c>
      <c r="D520" s="40"/>
      <c r="E520" s="43"/>
      <c r="F520" s="54"/>
      <c r="G520" s="54"/>
      <c r="H520" s="54"/>
      <c r="I520" s="54"/>
      <c r="J520" s="45"/>
      <c r="K520" s="54"/>
      <c r="L520" s="54"/>
      <c r="M520" s="54"/>
      <c r="N520" s="32"/>
      <c r="O520" s="108"/>
      <c r="P520" s="110"/>
    </row>
    <row r="521" spans="2:16">
      <c r="B521" s="143" t="s">
        <v>852</v>
      </c>
      <c r="C521" s="117" t="s">
        <v>507</v>
      </c>
      <c r="D521" s="40"/>
      <c r="E521" s="43"/>
      <c r="F521" s="54"/>
      <c r="G521" s="54"/>
      <c r="H521" s="54"/>
      <c r="I521" s="54"/>
      <c r="J521" s="45"/>
      <c r="K521" s="54"/>
      <c r="L521" s="54"/>
      <c r="M521" s="54"/>
      <c r="N521" s="32"/>
      <c r="O521" s="35"/>
      <c r="P521" s="77"/>
    </row>
    <row r="522" spans="2:16" s="24" customFormat="1" ht="30">
      <c r="B522" s="143" t="s">
        <v>1172</v>
      </c>
      <c r="C522" s="117" t="s">
        <v>508</v>
      </c>
      <c r="D522" s="40"/>
      <c r="E522" s="43"/>
      <c r="F522" s="54"/>
      <c r="G522" s="54"/>
      <c r="H522" s="54"/>
      <c r="I522" s="54"/>
      <c r="J522" s="45"/>
      <c r="K522" s="54"/>
      <c r="L522" s="54"/>
      <c r="M522" s="54"/>
      <c r="N522" s="32"/>
      <c r="O522" s="35"/>
      <c r="P522" s="77"/>
    </row>
    <row r="523" spans="2:16" s="24" customFormat="1" ht="60">
      <c r="B523" s="146" t="s">
        <v>853</v>
      </c>
      <c r="C523" s="147" t="s">
        <v>1285</v>
      </c>
      <c r="D523" s="104">
        <f t="shared" ref="D523:D576" si="155">SUM(E523:I523)+SUM(K523:M523)</f>
        <v>0</v>
      </c>
      <c r="E523" s="41">
        <f t="shared" ref="E523:M523" si="156">E399</f>
        <v>0</v>
      </c>
      <c r="F523" s="41">
        <f t="shared" si="156"/>
        <v>0</v>
      </c>
      <c r="G523" s="41"/>
      <c r="H523" s="41">
        <f t="shared" si="156"/>
        <v>0</v>
      </c>
      <c r="I523" s="41">
        <f t="shared" si="156"/>
        <v>0</v>
      </c>
      <c r="J523" s="41">
        <f t="shared" si="156"/>
        <v>0</v>
      </c>
      <c r="K523" s="41">
        <f t="shared" si="156"/>
        <v>0</v>
      </c>
      <c r="L523" s="41">
        <f t="shared" si="156"/>
        <v>0</v>
      </c>
      <c r="M523" s="41">
        <f t="shared" si="156"/>
        <v>0</v>
      </c>
      <c r="N523" s="35"/>
      <c r="O523" s="35"/>
      <c r="P523" s="71"/>
    </row>
    <row r="524" spans="2:16" s="24" customFormat="1">
      <c r="B524" s="146" t="s">
        <v>854</v>
      </c>
      <c r="C524" s="147" t="s">
        <v>86</v>
      </c>
      <c r="D524" s="104">
        <f t="shared" si="155"/>
        <v>0</v>
      </c>
      <c r="E524" s="41">
        <f t="shared" ref="E524:M524" si="157">E525+E526</f>
        <v>0</v>
      </c>
      <c r="F524" s="41">
        <f t="shared" si="157"/>
        <v>0</v>
      </c>
      <c r="G524" s="41">
        <f t="shared" si="157"/>
        <v>0</v>
      </c>
      <c r="H524" s="41">
        <f t="shared" si="157"/>
        <v>0</v>
      </c>
      <c r="I524" s="41">
        <f t="shared" si="157"/>
        <v>0</v>
      </c>
      <c r="J524" s="41">
        <f>J525+J526</f>
        <v>0</v>
      </c>
      <c r="K524" s="41">
        <f t="shared" si="157"/>
        <v>0</v>
      </c>
      <c r="L524" s="41">
        <f t="shared" si="157"/>
        <v>0</v>
      </c>
      <c r="M524" s="41">
        <f t="shared" si="157"/>
        <v>0</v>
      </c>
      <c r="N524" s="66" t="str">
        <f>IF((D524=D523)*AND(E524=E523)*AND(F524=F523)*AND(G524=G523)*AND(H524=H523)*AND(I524=I523)*AND(K524=K523)*AND(L524=L523)*AND(M524=M523)*AND(J524=J523),"Выполнено","ПРОВЕРИТЬ (в сумме должно получиться общее количество действующих глав)")</f>
        <v>Выполнено</v>
      </c>
      <c r="O524" s="35"/>
      <c r="P524" s="71"/>
    </row>
    <row r="525" spans="2:16">
      <c r="B525" s="146" t="s">
        <v>855</v>
      </c>
      <c r="C525" s="147" t="s">
        <v>87</v>
      </c>
      <c r="D525" s="104">
        <f t="shared" si="155"/>
        <v>0</v>
      </c>
      <c r="E525" s="40"/>
      <c r="F525" s="40"/>
      <c r="G525" s="40"/>
      <c r="H525" s="40"/>
      <c r="I525" s="40"/>
      <c r="J525" s="40"/>
      <c r="K525" s="40"/>
      <c r="L525" s="40"/>
      <c r="M525" s="40"/>
      <c r="N525" s="35"/>
      <c r="O525" s="35"/>
      <c r="P525" s="77"/>
    </row>
    <row r="526" spans="2:16">
      <c r="B526" s="146" t="s">
        <v>856</v>
      </c>
      <c r="C526" s="147" t="s">
        <v>88</v>
      </c>
      <c r="D526" s="104">
        <f t="shared" si="155"/>
        <v>0</v>
      </c>
      <c r="E526" s="40"/>
      <c r="F526" s="40"/>
      <c r="G526" s="40"/>
      <c r="H526" s="40"/>
      <c r="I526" s="40"/>
      <c r="J526" s="40"/>
      <c r="K526" s="40"/>
      <c r="L526" s="40"/>
      <c r="M526" s="40"/>
      <c r="N526" s="35"/>
      <c r="O526" s="35"/>
      <c r="P526" s="77"/>
    </row>
    <row r="527" spans="2:16">
      <c r="B527" s="146" t="s">
        <v>857</v>
      </c>
      <c r="C527" s="147" t="s">
        <v>139</v>
      </c>
      <c r="D527" s="104">
        <f t="shared" si="155"/>
        <v>0</v>
      </c>
      <c r="E527" s="41">
        <f t="shared" ref="E527:M527" si="158">SUM(E528:E530)</f>
        <v>0</v>
      </c>
      <c r="F527" s="41">
        <f t="shared" si="158"/>
        <v>0</v>
      </c>
      <c r="G527" s="41">
        <f t="shared" si="158"/>
        <v>0</v>
      </c>
      <c r="H527" s="41">
        <f t="shared" si="158"/>
        <v>0</v>
      </c>
      <c r="I527" s="41">
        <f t="shared" si="158"/>
        <v>0</v>
      </c>
      <c r="J527" s="41">
        <f>SUM(J528:J530)</f>
        <v>0</v>
      </c>
      <c r="K527" s="41">
        <f t="shared" si="158"/>
        <v>0</v>
      </c>
      <c r="L527" s="41">
        <f t="shared" si="158"/>
        <v>0</v>
      </c>
      <c r="M527" s="41">
        <f t="shared" si="158"/>
        <v>0</v>
      </c>
      <c r="N527" s="66" t="str">
        <f>IF((D527=D523)*AND(E527=E523)*AND(F527=F523)*AND(G527=G523)*AND(H527=H523)*AND(I527=I523)*AND(K527=K523)*AND(L527=L523)*AND(M527=M523)*AND(J527=J523),"Выполнено","ПРОВЕРИТЬ (в сумме должно получиться общее количество действующих глав администраций)")</f>
        <v>Выполнено</v>
      </c>
      <c r="O527" s="35"/>
      <c r="P527" s="77"/>
    </row>
    <row r="528" spans="2:16">
      <c r="B528" s="146" t="s">
        <v>858</v>
      </c>
      <c r="C528" s="147" t="s">
        <v>307</v>
      </c>
      <c r="D528" s="104">
        <f t="shared" si="155"/>
        <v>0</v>
      </c>
      <c r="E528" s="40"/>
      <c r="F528" s="40"/>
      <c r="G528" s="40"/>
      <c r="H528" s="40"/>
      <c r="I528" s="40"/>
      <c r="J528" s="40"/>
      <c r="K528" s="40"/>
      <c r="L528" s="40"/>
      <c r="M528" s="40"/>
      <c r="N528" s="35"/>
      <c r="O528" s="35"/>
      <c r="P528" s="77"/>
    </row>
    <row r="529" spans="2:16">
      <c r="B529" s="146" t="s">
        <v>859</v>
      </c>
      <c r="C529" s="147" t="s">
        <v>308</v>
      </c>
      <c r="D529" s="104">
        <f t="shared" si="155"/>
        <v>0</v>
      </c>
      <c r="E529" s="40"/>
      <c r="F529" s="40"/>
      <c r="G529" s="40"/>
      <c r="H529" s="40"/>
      <c r="I529" s="40"/>
      <c r="J529" s="40"/>
      <c r="K529" s="40"/>
      <c r="L529" s="40"/>
      <c r="M529" s="40"/>
      <c r="N529" s="35"/>
      <c r="O529" s="35"/>
      <c r="P529" s="77"/>
    </row>
    <row r="530" spans="2:16">
      <c r="B530" s="146" t="s">
        <v>860</v>
      </c>
      <c r="C530" s="147" t="s">
        <v>89</v>
      </c>
      <c r="D530" s="104">
        <f t="shared" si="155"/>
        <v>0</v>
      </c>
      <c r="E530" s="40"/>
      <c r="F530" s="40"/>
      <c r="G530" s="40"/>
      <c r="H530" s="40"/>
      <c r="I530" s="40"/>
      <c r="J530" s="40"/>
      <c r="K530" s="40"/>
      <c r="L530" s="40"/>
      <c r="M530" s="40"/>
      <c r="N530" s="35"/>
      <c r="O530" s="35"/>
      <c r="P530" s="77"/>
    </row>
    <row r="531" spans="2:16">
      <c r="B531" s="146" t="s">
        <v>861</v>
      </c>
      <c r="C531" s="147" t="s">
        <v>396</v>
      </c>
      <c r="D531" s="104">
        <f t="shared" si="155"/>
        <v>0</v>
      </c>
      <c r="E531" s="40"/>
      <c r="F531" s="40"/>
      <c r="G531" s="40"/>
      <c r="H531" s="40"/>
      <c r="I531" s="40"/>
      <c r="J531" s="40"/>
      <c r="K531" s="40"/>
      <c r="L531" s="40"/>
      <c r="M531" s="40"/>
      <c r="N531" s="66" t="str">
        <f>IF((D531&lt;=D523)*AND(E531&lt;=E523)*AND(F531&lt;=F523)*AND(G531&lt;=G523)*AND(H531&lt;=H523)*AND(I531&lt;=I523)*AND(K531&lt;=K523)*AND(L531&lt;=L523)*AND(M531&lt;=M523)*AND(J531&lt;=J523),"Выполнено","ПРОВЕРИТЬ (их не может быть больше общего числа действующих глав администраций, назначенных по конкурсу)")</f>
        <v>Выполнено</v>
      </c>
      <c r="O531" s="35"/>
      <c r="P531" s="77"/>
    </row>
    <row r="532" spans="2:16">
      <c r="B532" s="146" t="s">
        <v>862</v>
      </c>
      <c r="C532" s="147" t="s">
        <v>140</v>
      </c>
      <c r="D532" s="104">
        <f t="shared" si="155"/>
        <v>0</v>
      </c>
      <c r="E532" s="40"/>
      <c r="F532" s="40"/>
      <c r="G532" s="40"/>
      <c r="H532" s="40"/>
      <c r="I532" s="40"/>
      <c r="J532" s="40"/>
      <c r="K532" s="40"/>
      <c r="L532" s="40"/>
      <c r="M532" s="40"/>
      <c r="N532" s="66" t="str">
        <f>IF((D532&lt;=D523)*AND(E532&lt;=E523)*AND(F532&lt;=F523)*AND(G532&lt;=G523)*AND(H532&lt;=H523)*AND(I532&lt;=I523)*AND(K532&lt;=K523)*AND(L532&lt;=L523)*AND(M532&lt;=M523)*AND(J532&lt;=J523),"Выполнено","ПРОВЕРИТЬ (их не может быть больше общего числа действующих глав, избранных населением)")</f>
        <v>Выполнено</v>
      </c>
      <c r="O532" s="35"/>
      <c r="P532" s="77"/>
    </row>
    <row r="533" spans="2:16" s="14" customFormat="1">
      <c r="B533" s="143" t="s">
        <v>863</v>
      </c>
      <c r="C533" s="117" t="s">
        <v>503</v>
      </c>
      <c r="D533" s="104">
        <f t="shared" si="155"/>
        <v>0</v>
      </c>
      <c r="E533" s="41">
        <f t="shared" ref="E533" si="159">SUM(E534:E540)</f>
        <v>0</v>
      </c>
      <c r="F533" s="41">
        <f t="shared" ref="F533" si="160">SUM(F534:F540)</f>
        <v>0</v>
      </c>
      <c r="G533" s="41">
        <f t="shared" ref="G533" si="161">SUM(G534:G540)</f>
        <v>0</v>
      </c>
      <c r="H533" s="41">
        <f t="shared" ref="H533" si="162">SUM(H534:H540)</f>
        <v>0</v>
      </c>
      <c r="I533" s="41">
        <f t="shared" ref="I533" si="163">SUM(I534:I540)</f>
        <v>0</v>
      </c>
      <c r="J533" s="41">
        <f>SUM(J534:J540)</f>
        <v>0</v>
      </c>
      <c r="K533" s="41">
        <f t="shared" ref="K533" si="164">SUM(K534:K540)</f>
        <v>0</v>
      </c>
      <c r="L533" s="41">
        <f t="shared" ref="L533" si="165">SUM(L534:L540)</f>
        <v>0</v>
      </c>
      <c r="M533" s="41">
        <f t="shared" ref="M533" si="166">SUM(M534:M540)</f>
        <v>0</v>
      </c>
      <c r="N533" s="66" t="str">
        <f>IF((D533=D523)*AND(E533=E523)*AND(F533=F523)*AND(G533=G523)*AND(H533=H523)*AND(I533=I523)*AND(K533=K523)*AND(L533=L523)*AND(M533=M523)*AND(J533=J523),"Выполнено","ПРОВЕРИТЬ (в сумме должно получиться общее количество действующих глав администраций, назначенных по конкурсу)")</f>
        <v>Выполнено</v>
      </c>
      <c r="O533" s="35"/>
      <c r="P533" s="77"/>
    </row>
    <row r="534" spans="2:16" s="14" customFormat="1">
      <c r="B534" s="143" t="s">
        <v>864</v>
      </c>
      <c r="C534" s="117" t="s">
        <v>560</v>
      </c>
      <c r="D534" s="104">
        <f t="shared" si="155"/>
        <v>0</v>
      </c>
      <c r="E534" s="40"/>
      <c r="F534" s="40"/>
      <c r="G534" s="40"/>
      <c r="H534" s="40"/>
      <c r="I534" s="40"/>
      <c r="J534" s="40"/>
      <c r="K534" s="40"/>
      <c r="L534" s="40"/>
      <c r="M534" s="40"/>
      <c r="N534" s="32"/>
      <c r="O534" s="35"/>
      <c r="P534" s="77"/>
    </row>
    <row r="535" spans="2:16" s="24" customFormat="1">
      <c r="B535" s="143" t="s">
        <v>865</v>
      </c>
      <c r="C535" s="117" t="s">
        <v>504</v>
      </c>
      <c r="D535" s="104">
        <f t="shared" si="155"/>
        <v>0</v>
      </c>
      <c r="E535" s="40"/>
      <c r="F535" s="40"/>
      <c r="G535" s="40"/>
      <c r="H535" s="40"/>
      <c r="I535" s="40"/>
      <c r="J535" s="40"/>
      <c r="K535" s="40"/>
      <c r="L535" s="40"/>
      <c r="M535" s="40"/>
      <c r="N535" s="32"/>
      <c r="O535" s="35"/>
      <c r="P535" s="77"/>
    </row>
    <row r="536" spans="2:16" s="14" customFormat="1">
      <c r="B536" s="143" t="s">
        <v>866</v>
      </c>
      <c r="C536" s="117" t="s">
        <v>505</v>
      </c>
      <c r="D536" s="104">
        <f t="shared" si="155"/>
        <v>0</v>
      </c>
      <c r="E536" s="40"/>
      <c r="F536" s="40"/>
      <c r="G536" s="40"/>
      <c r="H536" s="40"/>
      <c r="I536" s="40"/>
      <c r="J536" s="40"/>
      <c r="K536" s="40"/>
      <c r="L536" s="40"/>
      <c r="M536" s="40"/>
      <c r="N536" s="32"/>
      <c r="O536" s="35"/>
      <c r="P536" s="77"/>
    </row>
    <row r="537" spans="2:16">
      <c r="B537" s="143" t="s">
        <v>867</v>
      </c>
      <c r="C537" s="117" t="s">
        <v>506</v>
      </c>
      <c r="D537" s="104">
        <f t="shared" si="155"/>
        <v>0</v>
      </c>
      <c r="E537" s="40"/>
      <c r="F537" s="40"/>
      <c r="G537" s="40"/>
      <c r="H537" s="40"/>
      <c r="I537" s="40"/>
      <c r="J537" s="40"/>
      <c r="K537" s="40"/>
      <c r="L537" s="40"/>
      <c r="M537" s="40"/>
      <c r="N537" s="32"/>
      <c r="O537" s="35"/>
      <c r="P537" s="71"/>
    </row>
    <row r="538" spans="2:16" s="105" customFormat="1">
      <c r="B538" s="143" t="s">
        <v>868</v>
      </c>
      <c r="C538" s="117" t="s">
        <v>1167</v>
      </c>
      <c r="D538" s="104">
        <f t="shared" si="155"/>
        <v>0</v>
      </c>
      <c r="E538" s="40"/>
      <c r="F538" s="40"/>
      <c r="G538" s="40"/>
      <c r="H538" s="40"/>
      <c r="I538" s="40"/>
      <c r="J538" s="40"/>
      <c r="K538" s="40"/>
      <c r="L538" s="40"/>
      <c r="M538" s="40"/>
      <c r="N538" s="32"/>
      <c r="O538" s="108"/>
      <c r="P538" s="71"/>
    </row>
    <row r="539" spans="2:16">
      <c r="B539" s="143" t="s">
        <v>869</v>
      </c>
      <c r="C539" s="117" t="s">
        <v>507</v>
      </c>
      <c r="D539" s="104">
        <f t="shared" si="155"/>
        <v>0</v>
      </c>
      <c r="E539" s="40"/>
      <c r="F539" s="40"/>
      <c r="G539" s="40"/>
      <c r="H539" s="40"/>
      <c r="I539" s="40"/>
      <c r="J539" s="40"/>
      <c r="K539" s="40"/>
      <c r="L539" s="40"/>
      <c r="M539" s="40"/>
      <c r="N539" s="32"/>
      <c r="O539" s="35"/>
      <c r="P539" s="74"/>
    </row>
    <row r="540" spans="2:16" s="14" customFormat="1" ht="30">
      <c r="B540" s="143" t="s">
        <v>1171</v>
      </c>
      <c r="C540" s="117" t="s">
        <v>508</v>
      </c>
      <c r="D540" s="104">
        <f t="shared" si="155"/>
        <v>0</v>
      </c>
      <c r="E540" s="40"/>
      <c r="F540" s="40"/>
      <c r="G540" s="40"/>
      <c r="H540" s="40"/>
      <c r="I540" s="40"/>
      <c r="J540" s="40"/>
      <c r="K540" s="40"/>
      <c r="L540" s="40"/>
      <c r="M540" s="40"/>
      <c r="N540" s="32"/>
      <c r="O540" s="35"/>
      <c r="P540" s="74"/>
    </row>
    <row r="541" spans="2:16" s="105" customFormat="1">
      <c r="B541" s="146" t="s">
        <v>518</v>
      </c>
      <c r="C541" s="147" t="s">
        <v>142</v>
      </c>
      <c r="D541" s="104">
        <f t="shared" ref="D541:D550" si="167">SUM(E541:I541)+SUM(K541:M541)</f>
        <v>2</v>
      </c>
      <c r="E541" s="41">
        <f>E432</f>
        <v>0</v>
      </c>
      <c r="F541" s="41">
        <f t="shared" ref="F541:M541" si="168">F432</f>
        <v>0</v>
      </c>
      <c r="G541" s="41">
        <f t="shared" si="168"/>
        <v>2</v>
      </c>
      <c r="H541" s="41">
        <f t="shared" si="168"/>
        <v>0</v>
      </c>
      <c r="I541" s="41">
        <f t="shared" si="168"/>
        <v>0</v>
      </c>
      <c r="J541" s="41">
        <f t="shared" si="168"/>
        <v>0</v>
      </c>
      <c r="K541" s="41">
        <f t="shared" si="168"/>
        <v>0</v>
      </c>
      <c r="L541" s="41">
        <f t="shared" si="168"/>
        <v>0</v>
      </c>
      <c r="M541" s="41">
        <f t="shared" si="168"/>
        <v>0</v>
      </c>
      <c r="N541" s="108"/>
      <c r="O541" s="108"/>
      <c r="P541" s="74"/>
    </row>
    <row r="542" spans="2:16" s="105" customFormat="1">
      <c r="B542" s="146" t="s">
        <v>870</v>
      </c>
      <c r="C542" s="147" t="s">
        <v>86</v>
      </c>
      <c r="D542" s="104">
        <f t="shared" si="167"/>
        <v>2</v>
      </c>
      <c r="E542" s="41">
        <f t="shared" ref="E542:I542" si="169">E543+E544</f>
        <v>0</v>
      </c>
      <c r="F542" s="41">
        <f t="shared" si="169"/>
        <v>0</v>
      </c>
      <c r="G542" s="41">
        <f t="shared" si="169"/>
        <v>2</v>
      </c>
      <c r="H542" s="41">
        <f t="shared" si="169"/>
        <v>0</v>
      </c>
      <c r="I542" s="41">
        <f t="shared" si="169"/>
        <v>0</v>
      </c>
      <c r="J542" s="41">
        <f>J543+J544</f>
        <v>0</v>
      </c>
      <c r="K542" s="41">
        <f t="shared" ref="K542:M542" si="170">K543+K544</f>
        <v>0</v>
      </c>
      <c r="L542" s="41">
        <f t="shared" si="170"/>
        <v>0</v>
      </c>
      <c r="M542" s="41">
        <f t="shared" si="170"/>
        <v>0</v>
      </c>
      <c r="N542" s="66" t="str">
        <f>IF((D542=D541)*AND(E542=E541)*AND(F542=F541)*AND(G542=G541)*AND(H542=H541)*AND(I542=I541)*AND(K542=K541)*AND(L542=L541)*AND(M542=M541)*AND(J542=J541),"Выполнено","ПРОВЕРИТЬ (в сумме должно получиться общее количество служащих)")</f>
        <v>Выполнено</v>
      </c>
      <c r="O542" s="108"/>
      <c r="P542" s="74"/>
    </row>
    <row r="543" spans="2:16" s="105" customFormat="1">
      <c r="B543" s="146" t="s">
        <v>871</v>
      </c>
      <c r="C543" s="147" t="s">
        <v>87</v>
      </c>
      <c r="D543" s="104">
        <f t="shared" si="167"/>
        <v>0</v>
      </c>
      <c r="E543" s="40"/>
      <c r="F543" s="40"/>
      <c r="G543" s="40"/>
      <c r="H543" s="40"/>
      <c r="I543" s="40"/>
      <c r="J543" s="40"/>
      <c r="K543" s="40"/>
      <c r="L543" s="40"/>
      <c r="M543" s="40"/>
      <c r="N543" s="108"/>
      <c r="O543" s="108"/>
      <c r="P543" s="74"/>
    </row>
    <row r="544" spans="2:16" s="105" customFormat="1">
      <c r="B544" s="146" t="s">
        <v>872</v>
      </c>
      <c r="C544" s="147" t="s">
        <v>88</v>
      </c>
      <c r="D544" s="104">
        <f t="shared" si="167"/>
        <v>2</v>
      </c>
      <c r="E544" s="40"/>
      <c r="F544" s="40"/>
      <c r="G544" s="40">
        <v>2</v>
      </c>
      <c r="H544" s="40"/>
      <c r="I544" s="40"/>
      <c r="J544" s="40"/>
      <c r="K544" s="40"/>
      <c r="L544" s="40"/>
      <c r="M544" s="40"/>
      <c r="N544" s="108"/>
      <c r="O544" s="108"/>
      <c r="P544" s="74"/>
    </row>
    <row r="545" spans="2:16" s="105" customFormat="1">
      <c r="B545" s="146" t="s">
        <v>873</v>
      </c>
      <c r="C545" s="147" t="s">
        <v>139</v>
      </c>
      <c r="D545" s="104">
        <f t="shared" si="167"/>
        <v>2</v>
      </c>
      <c r="E545" s="41">
        <f t="shared" ref="E545:I545" si="171">SUM(E546:E548)</f>
        <v>0</v>
      </c>
      <c r="F545" s="41">
        <f t="shared" si="171"/>
        <v>0</v>
      </c>
      <c r="G545" s="41">
        <f t="shared" si="171"/>
        <v>2</v>
      </c>
      <c r="H545" s="41">
        <f t="shared" si="171"/>
        <v>0</v>
      </c>
      <c r="I545" s="41">
        <f t="shared" si="171"/>
        <v>0</v>
      </c>
      <c r="J545" s="41">
        <f>SUM(J546:J548)</f>
        <v>0</v>
      </c>
      <c r="K545" s="41">
        <f t="shared" ref="K545:M545" si="172">SUM(K546:K548)</f>
        <v>0</v>
      </c>
      <c r="L545" s="41">
        <f t="shared" si="172"/>
        <v>0</v>
      </c>
      <c r="M545" s="41">
        <f t="shared" si="172"/>
        <v>0</v>
      </c>
      <c r="N545" s="66" t="str">
        <f>IF((D545=D541)*AND(E545=E541)*AND(F545=F541)*AND(G545=G541)*AND(H545=H541)*AND(I545=I541)*AND(K545=K541)*AND(L545=L541)*AND(M545=M541)*AND(J545=J541),"Выполнено","ПРОВЕРИТЬ (в сумме должно получиться общее количество служащих)")</f>
        <v>Выполнено</v>
      </c>
      <c r="O545" s="108"/>
      <c r="P545" s="74"/>
    </row>
    <row r="546" spans="2:16" s="105" customFormat="1">
      <c r="B546" s="146" t="s">
        <v>874</v>
      </c>
      <c r="C546" s="147" t="s">
        <v>307</v>
      </c>
      <c r="D546" s="104">
        <f t="shared" si="167"/>
        <v>0</v>
      </c>
      <c r="E546" s="40"/>
      <c r="F546" s="40"/>
      <c r="G546" s="40"/>
      <c r="H546" s="40"/>
      <c r="I546" s="40"/>
      <c r="J546" s="40"/>
      <c r="K546" s="40"/>
      <c r="L546" s="40"/>
      <c r="M546" s="40"/>
      <c r="N546" s="108"/>
      <c r="O546" s="108"/>
      <c r="P546" s="74"/>
    </row>
    <row r="547" spans="2:16" s="105" customFormat="1">
      <c r="B547" s="146" t="s">
        <v>875</v>
      </c>
      <c r="C547" s="147" t="s">
        <v>308</v>
      </c>
      <c r="D547" s="104">
        <f t="shared" si="167"/>
        <v>2</v>
      </c>
      <c r="E547" s="40"/>
      <c r="F547" s="40"/>
      <c r="G547" s="40">
        <v>2</v>
      </c>
      <c r="H547" s="40"/>
      <c r="I547" s="40"/>
      <c r="J547" s="40"/>
      <c r="K547" s="40"/>
      <c r="L547" s="40"/>
      <c r="M547" s="40"/>
      <c r="N547" s="108"/>
      <c r="O547" s="108"/>
      <c r="P547" s="74"/>
    </row>
    <row r="548" spans="2:16" s="105" customFormat="1">
      <c r="B548" s="146" t="s">
        <v>876</v>
      </c>
      <c r="C548" s="147" t="s">
        <v>89</v>
      </c>
      <c r="D548" s="104">
        <f t="shared" si="167"/>
        <v>0</v>
      </c>
      <c r="E548" s="40"/>
      <c r="F548" s="40"/>
      <c r="G548" s="40"/>
      <c r="H548" s="40"/>
      <c r="I548" s="40"/>
      <c r="J548" s="40"/>
      <c r="K548" s="40"/>
      <c r="L548" s="40"/>
      <c r="M548" s="40"/>
      <c r="N548" s="108"/>
      <c r="O548" s="108"/>
      <c r="P548" s="74"/>
    </row>
    <row r="549" spans="2:16" s="105" customFormat="1">
      <c r="B549" s="146" t="s">
        <v>877</v>
      </c>
      <c r="C549" s="147" t="s">
        <v>310</v>
      </c>
      <c r="D549" s="104">
        <f t="shared" si="167"/>
        <v>2</v>
      </c>
      <c r="E549" s="40"/>
      <c r="F549" s="40"/>
      <c r="G549" s="40">
        <v>2</v>
      </c>
      <c r="H549" s="40"/>
      <c r="I549" s="40"/>
      <c r="J549" s="40"/>
      <c r="K549" s="40"/>
      <c r="L549" s="40"/>
      <c r="M549" s="40"/>
      <c r="N549" s="66" t="str">
        <f>IF((D549&lt;=D541)*AND(E549&lt;=E541)*AND(F549&lt;=F541)*AND(G549&lt;=G541)*AND(H549&lt;=H541)*AND(I549&lt;=I541)*AND(K549&lt;=K541)*AND(L549&lt;=L541)*AND(M549&lt;=M541)*AND(J549&lt;=J541),"Выполнено","ПРОВЕРИТЬ (их не может быть больше общего числа служащих)")</f>
        <v>Выполнено</v>
      </c>
      <c r="O549" s="108"/>
      <c r="P549" s="74"/>
    </row>
    <row r="550" spans="2:16" s="105" customFormat="1">
      <c r="B550" s="148" t="s">
        <v>878</v>
      </c>
      <c r="C550" s="149" t="s">
        <v>140</v>
      </c>
      <c r="D550" s="104">
        <f t="shared" si="167"/>
        <v>0</v>
      </c>
      <c r="E550" s="40"/>
      <c r="F550" s="40"/>
      <c r="G550" s="40"/>
      <c r="H550" s="40"/>
      <c r="I550" s="40"/>
      <c r="J550" s="40"/>
      <c r="K550" s="40"/>
      <c r="L550" s="40"/>
      <c r="M550" s="40"/>
      <c r="N550" s="66" t="str">
        <f>IF((D550&lt;=D541)*AND(E550&lt;=E541)*AND(F550&lt;=F541)*AND(G550&lt;=G541)*AND(H550&lt;=H541)*AND(I550&lt;=I541)*AND(K550&lt;=K541)*AND(L550&lt;=L541)*AND(M550&lt;=M541)*AND(J550&lt;=J541),"Выполнено","ПРОВЕРИТЬ (их не может быть больше общего числа служащих)")</f>
        <v>Выполнено</v>
      </c>
      <c r="O550" s="108"/>
      <c r="P550" s="74"/>
    </row>
    <row r="551" spans="2:16" ht="45">
      <c r="B551" s="141" t="s">
        <v>879</v>
      </c>
      <c r="C551" s="142" t="s">
        <v>135</v>
      </c>
      <c r="D551" s="84"/>
      <c r="E551" s="85"/>
      <c r="F551" s="85"/>
      <c r="G551" s="85"/>
      <c r="H551" s="85"/>
      <c r="I551" s="85"/>
      <c r="J551" s="85"/>
      <c r="K551" s="85"/>
      <c r="L551" s="85"/>
      <c r="M551" s="85"/>
      <c r="N551" s="39"/>
      <c r="O551" s="30"/>
      <c r="P551" s="74"/>
    </row>
    <row r="552" spans="2:16" ht="45">
      <c r="B552" s="143" t="s">
        <v>880</v>
      </c>
      <c r="C552" s="117" t="s">
        <v>1216</v>
      </c>
      <c r="D552" s="104">
        <f t="shared" si="155"/>
        <v>0</v>
      </c>
      <c r="E552" s="41">
        <f t="shared" ref="E552:M552" si="173">SUM(E553:E558)</f>
        <v>0</v>
      </c>
      <c r="F552" s="41">
        <f t="shared" si="173"/>
        <v>0</v>
      </c>
      <c r="G552" s="41">
        <f t="shared" si="173"/>
        <v>0</v>
      </c>
      <c r="H552" s="41">
        <f t="shared" si="173"/>
        <v>0</v>
      </c>
      <c r="I552" s="41">
        <f t="shared" si="173"/>
        <v>0</v>
      </c>
      <c r="J552" s="41">
        <f>SUM(J553:J558)</f>
        <v>0</v>
      </c>
      <c r="K552" s="41">
        <f t="shared" si="173"/>
        <v>0</v>
      </c>
      <c r="L552" s="41">
        <f t="shared" si="173"/>
        <v>0</v>
      </c>
      <c r="M552" s="41">
        <f t="shared" si="173"/>
        <v>0</v>
      </c>
      <c r="N552" s="35"/>
      <c r="O552" s="35"/>
      <c r="P552" s="75"/>
    </row>
    <row r="553" spans="2:16">
      <c r="B553" s="144" t="s">
        <v>881</v>
      </c>
      <c r="C553" s="145" t="s">
        <v>147</v>
      </c>
      <c r="D553" s="104">
        <f t="shared" si="155"/>
        <v>0</v>
      </c>
      <c r="E553" s="38"/>
      <c r="F553" s="38"/>
      <c r="G553" s="38"/>
      <c r="H553" s="38"/>
      <c r="I553" s="38"/>
      <c r="J553" s="38"/>
      <c r="K553" s="38"/>
      <c r="L553" s="38"/>
      <c r="M553" s="38"/>
      <c r="N553" s="35"/>
      <c r="O553" s="80" t="str">
        <f t="shared" ref="O553:O558" si="174">IF(((D553=0)),"   ","Нужно заполнить пункт 52 текстовой части - о случаях досрочного прекращения полномочий представительных органов муниципальных образований")</f>
        <v xml:space="preserve">   </v>
      </c>
      <c r="P553" s="77"/>
    </row>
    <row r="554" spans="2:16" ht="30">
      <c r="B554" s="144" t="s">
        <v>882</v>
      </c>
      <c r="C554" s="145" t="s">
        <v>148</v>
      </c>
      <c r="D554" s="104">
        <f t="shared" si="155"/>
        <v>0</v>
      </c>
      <c r="E554" s="38"/>
      <c r="F554" s="38"/>
      <c r="G554" s="38"/>
      <c r="H554" s="38"/>
      <c r="I554" s="38"/>
      <c r="J554" s="38"/>
      <c r="K554" s="38"/>
      <c r="L554" s="38"/>
      <c r="M554" s="38"/>
      <c r="N554" s="35"/>
      <c r="O554" s="80" t="str">
        <f t="shared" si="174"/>
        <v xml:space="preserve">   </v>
      </c>
      <c r="P554" s="71"/>
    </row>
    <row r="555" spans="2:16" ht="30">
      <c r="B555" s="144" t="s">
        <v>883</v>
      </c>
      <c r="C555" s="145" t="s">
        <v>149</v>
      </c>
      <c r="D555" s="104">
        <f t="shared" si="155"/>
        <v>0</v>
      </c>
      <c r="E555" s="38"/>
      <c r="F555" s="38"/>
      <c r="G555" s="38"/>
      <c r="H555" s="38"/>
      <c r="I555" s="38"/>
      <c r="J555" s="38"/>
      <c r="K555" s="38"/>
      <c r="L555" s="38"/>
      <c r="M555" s="38"/>
      <c r="N555" s="35"/>
      <c r="O555" s="80" t="str">
        <f t="shared" si="174"/>
        <v xml:space="preserve">   </v>
      </c>
      <c r="P555" s="74"/>
    </row>
    <row r="556" spans="2:16" ht="30">
      <c r="B556" s="144" t="s">
        <v>884</v>
      </c>
      <c r="C556" s="145" t="s">
        <v>150</v>
      </c>
      <c r="D556" s="104">
        <f t="shared" si="155"/>
        <v>0</v>
      </c>
      <c r="E556" s="38"/>
      <c r="F556" s="38"/>
      <c r="G556" s="38"/>
      <c r="H556" s="38"/>
      <c r="I556" s="38"/>
      <c r="J556" s="38"/>
      <c r="K556" s="38"/>
      <c r="L556" s="38"/>
      <c r="M556" s="38"/>
      <c r="N556" s="35"/>
      <c r="O556" s="80" t="str">
        <f t="shared" si="174"/>
        <v xml:space="preserve">   </v>
      </c>
      <c r="P556" s="74"/>
    </row>
    <row r="557" spans="2:16" ht="60">
      <c r="B557" s="144" t="s">
        <v>885</v>
      </c>
      <c r="C557" s="145" t="s">
        <v>629</v>
      </c>
      <c r="D557" s="104">
        <f t="shared" si="155"/>
        <v>0</v>
      </c>
      <c r="E557" s="38"/>
      <c r="F557" s="38"/>
      <c r="G557" s="38"/>
      <c r="H557" s="38"/>
      <c r="I557" s="38"/>
      <c r="J557" s="38"/>
      <c r="K557" s="38"/>
      <c r="L557" s="38"/>
      <c r="M557" s="38"/>
      <c r="N557" s="108"/>
      <c r="O557" s="111" t="str">
        <f t="shared" si="174"/>
        <v xml:space="preserve">   </v>
      </c>
      <c r="P557" s="75"/>
    </row>
    <row r="558" spans="2:16">
      <c r="B558" s="144" t="s">
        <v>886</v>
      </c>
      <c r="C558" s="145" t="s">
        <v>151</v>
      </c>
      <c r="D558" s="104">
        <f t="shared" si="155"/>
        <v>0</v>
      </c>
      <c r="E558" s="38"/>
      <c r="F558" s="38"/>
      <c r="G558" s="38"/>
      <c r="H558" s="38"/>
      <c r="I558" s="38"/>
      <c r="J558" s="38"/>
      <c r="K558" s="38"/>
      <c r="L558" s="38"/>
      <c r="M558" s="38"/>
      <c r="N558" s="35"/>
      <c r="O558" s="80" t="str">
        <f t="shared" si="174"/>
        <v xml:space="preserve">   </v>
      </c>
      <c r="P558" s="77"/>
    </row>
    <row r="559" spans="2:16" ht="30">
      <c r="B559" s="143" t="s">
        <v>887</v>
      </c>
      <c r="C559" s="117" t="s">
        <v>1217</v>
      </c>
      <c r="D559" s="104">
        <f t="shared" si="155"/>
        <v>0</v>
      </c>
      <c r="E559" s="41">
        <f t="shared" ref="E559:M559" si="175">SUM(E560:E569)</f>
        <v>0</v>
      </c>
      <c r="F559" s="41">
        <f t="shared" si="175"/>
        <v>0</v>
      </c>
      <c r="G559" s="41">
        <f t="shared" si="175"/>
        <v>0</v>
      </c>
      <c r="H559" s="41">
        <f t="shared" si="175"/>
        <v>0</v>
      </c>
      <c r="I559" s="41">
        <f t="shared" si="175"/>
        <v>0</v>
      </c>
      <c r="J559" s="41">
        <f>SUM(J560:J569)</f>
        <v>0</v>
      </c>
      <c r="K559" s="41">
        <f t="shared" si="175"/>
        <v>0</v>
      </c>
      <c r="L559" s="41">
        <f t="shared" si="175"/>
        <v>0</v>
      </c>
      <c r="M559" s="41">
        <f t="shared" si="175"/>
        <v>0</v>
      </c>
      <c r="N559" s="35"/>
      <c r="O559" s="35"/>
      <c r="P559" s="71"/>
    </row>
    <row r="560" spans="2:16">
      <c r="B560" s="146" t="s">
        <v>888</v>
      </c>
      <c r="C560" s="117" t="s">
        <v>152</v>
      </c>
      <c r="D560" s="104">
        <f t="shared" si="155"/>
        <v>0</v>
      </c>
      <c r="E560" s="42"/>
      <c r="F560" s="42"/>
      <c r="G560" s="42"/>
      <c r="H560" s="42"/>
      <c r="I560" s="42"/>
      <c r="J560" s="42"/>
      <c r="K560" s="42"/>
      <c r="L560" s="42"/>
      <c r="M560" s="42"/>
      <c r="N560" s="35"/>
      <c r="O560" s="35"/>
      <c r="P560" s="77"/>
    </row>
    <row r="561" spans="2:16">
      <c r="B561" s="146" t="s">
        <v>889</v>
      </c>
      <c r="C561" s="117" t="s">
        <v>153</v>
      </c>
      <c r="D561" s="104">
        <f t="shared" si="155"/>
        <v>0</v>
      </c>
      <c r="E561" s="42"/>
      <c r="F561" s="42"/>
      <c r="G561" s="42"/>
      <c r="H561" s="42"/>
      <c r="I561" s="42"/>
      <c r="J561" s="42"/>
      <c r="K561" s="42"/>
      <c r="L561" s="42"/>
      <c r="M561" s="42"/>
      <c r="N561" s="35"/>
      <c r="O561" s="35"/>
      <c r="P561" s="77"/>
    </row>
    <row r="562" spans="2:16">
      <c r="B562" s="144" t="s">
        <v>890</v>
      </c>
      <c r="C562" s="145" t="s">
        <v>154</v>
      </c>
      <c r="D562" s="104">
        <f t="shared" si="155"/>
        <v>0</v>
      </c>
      <c r="E562" s="38"/>
      <c r="F562" s="38"/>
      <c r="G562" s="38"/>
      <c r="H562" s="38"/>
      <c r="I562" s="38"/>
      <c r="J562" s="38"/>
      <c r="K562" s="38"/>
      <c r="L562" s="38"/>
      <c r="M562" s="38"/>
      <c r="N562" s="35"/>
      <c r="O562" s="80" t="str">
        <f>IF(((D562=0)),"   ","Нужно заполнить пункт 53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62" s="71"/>
    </row>
    <row r="563" spans="2:16" ht="30">
      <c r="B563" s="144" t="s">
        <v>891</v>
      </c>
      <c r="C563" s="145" t="s">
        <v>155</v>
      </c>
      <c r="D563" s="104">
        <f t="shared" si="155"/>
        <v>0</v>
      </c>
      <c r="E563" s="38"/>
      <c r="F563" s="38"/>
      <c r="G563" s="38"/>
      <c r="H563" s="38"/>
      <c r="I563" s="38"/>
      <c r="J563" s="38"/>
      <c r="K563" s="38"/>
      <c r="L563" s="38"/>
      <c r="M563" s="38"/>
      <c r="N563" s="35"/>
      <c r="O563" s="111" t="str">
        <f t="shared" ref="O563:O569" si="176">IF(((D563=0)),"   ","Нужно заполнить пункт 53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63" s="77"/>
    </row>
    <row r="564" spans="2:16" s="24" customFormat="1" ht="30">
      <c r="B564" s="144" t="s">
        <v>892</v>
      </c>
      <c r="C564" s="145" t="s">
        <v>156</v>
      </c>
      <c r="D564" s="104">
        <f t="shared" si="155"/>
        <v>0</v>
      </c>
      <c r="E564" s="38"/>
      <c r="F564" s="38"/>
      <c r="G564" s="38"/>
      <c r="H564" s="38"/>
      <c r="I564" s="38"/>
      <c r="J564" s="38"/>
      <c r="K564" s="38"/>
      <c r="L564" s="38"/>
      <c r="M564" s="38"/>
      <c r="N564" s="35"/>
      <c r="O564" s="111" t="str">
        <f t="shared" si="176"/>
        <v xml:space="preserve">   </v>
      </c>
      <c r="P564" s="77"/>
    </row>
    <row r="565" spans="2:16" ht="30">
      <c r="B565" s="144" t="s">
        <v>893</v>
      </c>
      <c r="C565" s="145" t="s">
        <v>157</v>
      </c>
      <c r="D565" s="104">
        <f t="shared" si="155"/>
        <v>0</v>
      </c>
      <c r="E565" s="38"/>
      <c r="F565" s="38"/>
      <c r="G565" s="38"/>
      <c r="H565" s="38"/>
      <c r="I565" s="38"/>
      <c r="J565" s="38"/>
      <c r="K565" s="38"/>
      <c r="L565" s="38"/>
      <c r="M565" s="38"/>
      <c r="N565" s="35"/>
      <c r="O565" s="111" t="str">
        <f t="shared" si="176"/>
        <v xml:space="preserve">   </v>
      </c>
      <c r="P565" s="77"/>
    </row>
    <row r="566" spans="2:16" ht="45">
      <c r="B566" s="144" t="s">
        <v>894</v>
      </c>
      <c r="C566" s="145" t="s">
        <v>234</v>
      </c>
      <c r="D566" s="104">
        <f t="shared" si="155"/>
        <v>0</v>
      </c>
      <c r="E566" s="38"/>
      <c r="F566" s="38"/>
      <c r="G566" s="38"/>
      <c r="H566" s="38"/>
      <c r="I566" s="38"/>
      <c r="J566" s="38"/>
      <c r="K566" s="38"/>
      <c r="L566" s="38"/>
      <c r="M566" s="38"/>
      <c r="N566" s="35"/>
      <c r="O566" s="111" t="str">
        <f t="shared" si="176"/>
        <v xml:space="preserve">   </v>
      </c>
      <c r="P566" s="71"/>
    </row>
    <row r="567" spans="2:16" ht="30">
      <c r="B567" s="144" t="s">
        <v>895</v>
      </c>
      <c r="C567" s="145" t="s">
        <v>150</v>
      </c>
      <c r="D567" s="104">
        <f t="shared" si="155"/>
        <v>0</v>
      </c>
      <c r="E567" s="38"/>
      <c r="F567" s="38"/>
      <c r="G567" s="38"/>
      <c r="H567" s="38"/>
      <c r="I567" s="38"/>
      <c r="J567" s="38"/>
      <c r="K567" s="38"/>
      <c r="L567" s="38"/>
      <c r="M567" s="38"/>
      <c r="N567" s="35"/>
      <c r="O567" s="111" t="str">
        <f t="shared" si="176"/>
        <v xml:space="preserve">   </v>
      </c>
      <c r="P567" s="71"/>
    </row>
    <row r="568" spans="2:16" s="24" customFormat="1" ht="60">
      <c r="B568" s="144" t="s">
        <v>896</v>
      </c>
      <c r="C568" s="145" t="s">
        <v>629</v>
      </c>
      <c r="D568" s="104">
        <f t="shared" si="155"/>
        <v>0</v>
      </c>
      <c r="E568" s="38"/>
      <c r="F568" s="38"/>
      <c r="G568" s="38"/>
      <c r="H568" s="38"/>
      <c r="I568" s="38"/>
      <c r="J568" s="38"/>
      <c r="K568" s="38"/>
      <c r="L568" s="38"/>
      <c r="M568" s="38"/>
      <c r="N568" s="108"/>
      <c r="O568" s="111" t="str">
        <f t="shared" si="176"/>
        <v xml:space="preserve">   </v>
      </c>
      <c r="P568" s="71"/>
    </row>
    <row r="569" spans="2:16" s="24" customFormat="1">
      <c r="B569" s="144" t="s">
        <v>897</v>
      </c>
      <c r="C569" s="145" t="s">
        <v>28</v>
      </c>
      <c r="D569" s="104">
        <f t="shared" si="155"/>
        <v>0</v>
      </c>
      <c r="E569" s="38"/>
      <c r="F569" s="38"/>
      <c r="G569" s="38"/>
      <c r="H569" s="38"/>
      <c r="I569" s="38"/>
      <c r="J569" s="38"/>
      <c r="K569" s="38"/>
      <c r="L569" s="38"/>
      <c r="M569" s="38"/>
      <c r="N569" s="35"/>
      <c r="O569" s="111" t="str">
        <f t="shared" si="176"/>
        <v xml:space="preserve">   </v>
      </c>
      <c r="P569" s="71"/>
    </row>
    <row r="570" spans="2:16" s="24" customFormat="1" ht="60">
      <c r="B570" s="143" t="s">
        <v>898</v>
      </c>
      <c r="C570" s="117" t="s">
        <v>1286</v>
      </c>
      <c r="D570" s="104">
        <f t="shared" si="155"/>
        <v>0</v>
      </c>
      <c r="E570" s="41">
        <f t="shared" ref="E570:L570" si="177">SUM(E571:E577)</f>
        <v>0</v>
      </c>
      <c r="F570" s="41">
        <f t="shared" si="177"/>
        <v>0</v>
      </c>
      <c r="G570" s="41">
        <f t="shared" si="177"/>
        <v>0</v>
      </c>
      <c r="H570" s="41">
        <f t="shared" si="177"/>
        <v>0</v>
      </c>
      <c r="I570" s="41">
        <f t="shared" si="177"/>
        <v>0</v>
      </c>
      <c r="J570" s="41">
        <f>SUM(J571:J577)</f>
        <v>0</v>
      </c>
      <c r="K570" s="41">
        <f t="shared" si="177"/>
        <v>0</v>
      </c>
      <c r="L570" s="41">
        <f t="shared" si="177"/>
        <v>0</v>
      </c>
      <c r="M570" s="41">
        <f>SUM(M571:M577)</f>
        <v>0</v>
      </c>
      <c r="N570" s="35"/>
      <c r="O570" s="35"/>
      <c r="P570" s="71"/>
    </row>
    <row r="571" spans="2:16" s="24" customFormat="1" ht="45">
      <c r="B571" s="150" t="s">
        <v>899</v>
      </c>
      <c r="C571" s="117" t="s">
        <v>158</v>
      </c>
      <c r="D571" s="104">
        <f t="shared" si="155"/>
        <v>0</v>
      </c>
      <c r="E571" s="42"/>
      <c r="F571" s="42"/>
      <c r="G571" s="42"/>
      <c r="H571" s="42"/>
      <c r="I571" s="42"/>
      <c r="J571" s="42"/>
      <c r="K571" s="42"/>
      <c r="L571" s="42"/>
      <c r="M571" s="42"/>
      <c r="N571" s="35"/>
      <c r="O571" s="35"/>
      <c r="P571" s="71"/>
    </row>
    <row r="572" spans="2:16" s="24" customFormat="1">
      <c r="B572" s="150" t="s">
        <v>900</v>
      </c>
      <c r="C572" s="117" t="s">
        <v>159</v>
      </c>
      <c r="D572" s="104">
        <f t="shared" si="155"/>
        <v>0</v>
      </c>
      <c r="E572" s="42"/>
      <c r="F572" s="42"/>
      <c r="G572" s="42"/>
      <c r="H572" s="42"/>
      <c r="I572" s="42"/>
      <c r="J572" s="42"/>
      <c r="K572" s="42"/>
      <c r="L572" s="42"/>
      <c r="M572" s="42"/>
      <c r="N572" s="35"/>
      <c r="O572" s="35"/>
      <c r="P572" s="71"/>
    </row>
    <row r="573" spans="2:16" s="24" customFormat="1" ht="30">
      <c r="B573" s="144" t="s">
        <v>907</v>
      </c>
      <c r="C573" s="145" t="s">
        <v>160</v>
      </c>
      <c r="D573" s="104">
        <f t="shared" si="155"/>
        <v>0</v>
      </c>
      <c r="E573" s="38"/>
      <c r="F573" s="38"/>
      <c r="G573" s="38"/>
      <c r="H573" s="38"/>
      <c r="I573" s="38"/>
      <c r="J573" s="38"/>
      <c r="K573" s="38"/>
      <c r="L573" s="38"/>
      <c r="M573" s="38"/>
      <c r="N573" s="35"/>
      <c r="O573" s="80" t="str">
        <f>IF(((D573=0)),"   ","Нужно заполнить пункт 53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73" s="71"/>
    </row>
    <row r="574" spans="2:16" s="24" customFormat="1">
      <c r="B574" s="144" t="s">
        <v>901</v>
      </c>
      <c r="C574" s="145" t="s">
        <v>161</v>
      </c>
      <c r="D574" s="104">
        <f t="shared" si="155"/>
        <v>0</v>
      </c>
      <c r="E574" s="38"/>
      <c r="F574" s="38"/>
      <c r="G574" s="38"/>
      <c r="H574" s="38"/>
      <c r="I574" s="38"/>
      <c r="J574" s="38"/>
      <c r="K574" s="38"/>
      <c r="L574" s="38"/>
      <c r="M574" s="38"/>
      <c r="N574" s="35"/>
      <c r="O574" s="80" t="str">
        <f>IF(((D574=0)),"   ","Нужно заполнить пункт 53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74" s="71"/>
    </row>
    <row r="575" spans="2:16" ht="30">
      <c r="B575" s="144" t="s">
        <v>902</v>
      </c>
      <c r="C575" s="145" t="s">
        <v>150</v>
      </c>
      <c r="D575" s="104">
        <f t="shared" si="155"/>
        <v>0</v>
      </c>
      <c r="E575" s="38"/>
      <c r="F575" s="38"/>
      <c r="G575" s="38"/>
      <c r="H575" s="38"/>
      <c r="I575" s="38"/>
      <c r="J575" s="38"/>
      <c r="K575" s="38"/>
      <c r="L575" s="38"/>
      <c r="M575" s="38"/>
      <c r="N575" s="35"/>
      <c r="O575" s="80" t="str">
        <f>IF(((D575=0)),"   ","Нужно заполнить пункт 53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75" s="77"/>
    </row>
    <row r="576" spans="2:16" ht="60">
      <c r="B576" s="144" t="s">
        <v>903</v>
      </c>
      <c r="C576" s="145" t="s">
        <v>629</v>
      </c>
      <c r="D576" s="104">
        <f t="shared" si="155"/>
        <v>0</v>
      </c>
      <c r="E576" s="38"/>
      <c r="F576" s="38"/>
      <c r="G576" s="38"/>
      <c r="H576" s="38"/>
      <c r="I576" s="38"/>
      <c r="J576" s="38"/>
      <c r="K576" s="38"/>
      <c r="L576" s="38"/>
      <c r="M576" s="38"/>
      <c r="N576" s="108"/>
      <c r="O576" s="111" t="str">
        <f>IF(((D576=0)),"   ","Нужно заполнить пункт 53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76" s="71"/>
    </row>
    <row r="577" spans="2:16">
      <c r="B577" s="144" t="s">
        <v>904</v>
      </c>
      <c r="C577" s="145" t="s">
        <v>151</v>
      </c>
      <c r="D577" s="104">
        <f t="shared" ref="D577:D599" si="178">SUM(E577:I577)+SUM(K577:M577)</f>
        <v>0</v>
      </c>
      <c r="E577" s="38"/>
      <c r="F577" s="38"/>
      <c r="G577" s="38"/>
      <c r="H577" s="38"/>
      <c r="I577" s="38"/>
      <c r="J577" s="38"/>
      <c r="K577" s="38"/>
      <c r="L577" s="38"/>
      <c r="M577" s="38"/>
      <c r="N577" s="35"/>
      <c r="O577" s="80" t="str">
        <f>IF(((D577=0)),"   ","Нужно заполнить пункт 53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77" s="77"/>
    </row>
    <row r="578" spans="2:16" ht="60">
      <c r="B578" s="143" t="s">
        <v>905</v>
      </c>
      <c r="C578" s="117" t="s">
        <v>1173</v>
      </c>
      <c r="D578" s="104">
        <f t="shared" si="178"/>
        <v>0</v>
      </c>
      <c r="E578" s="41">
        <f>SUM(E579:E581)</f>
        <v>0</v>
      </c>
      <c r="F578" s="41">
        <f t="shared" ref="F578:M578" si="179">SUM(F579:F581)</f>
        <v>0</v>
      </c>
      <c r="G578" s="41">
        <f t="shared" si="179"/>
        <v>0</v>
      </c>
      <c r="H578" s="41">
        <f t="shared" si="179"/>
        <v>0</v>
      </c>
      <c r="I578" s="41">
        <f t="shared" si="179"/>
        <v>0</v>
      </c>
      <c r="J578" s="41">
        <f>SUM(J579:J581)</f>
        <v>0</v>
      </c>
      <c r="K578" s="41">
        <f t="shared" si="179"/>
        <v>0</v>
      </c>
      <c r="L578" s="41">
        <f t="shared" si="179"/>
        <v>0</v>
      </c>
      <c r="M578" s="41">
        <f t="shared" si="179"/>
        <v>0</v>
      </c>
      <c r="N578" s="35"/>
      <c r="O578" s="35"/>
      <c r="P578" s="77"/>
    </row>
    <row r="579" spans="2:16" ht="30">
      <c r="B579" s="144" t="s">
        <v>908</v>
      </c>
      <c r="C579" s="145" t="s">
        <v>162</v>
      </c>
      <c r="D579" s="104">
        <f t="shared" si="178"/>
        <v>0</v>
      </c>
      <c r="E579" s="38"/>
      <c r="F579" s="38"/>
      <c r="G579" s="38"/>
      <c r="H579" s="38"/>
      <c r="I579" s="38"/>
      <c r="J579" s="38"/>
      <c r="K579" s="38"/>
      <c r="L579" s="38"/>
      <c r="M579" s="38"/>
      <c r="N579" s="35"/>
      <c r="O579" s="111" t="str">
        <f>IF(((D579=0)),"   ","Нужно заполнить пункт 54 текстовой части - о случаях пересмотра соответствующих решений в судебном порядке")</f>
        <v xml:space="preserve">   </v>
      </c>
      <c r="P579" s="71"/>
    </row>
    <row r="580" spans="2:16" ht="45">
      <c r="B580" s="144" t="s">
        <v>909</v>
      </c>
      <c r="C580" s="145" t="s">
        <v>163</v>
      </c>
      <c r="D580" s="104">
        <f t="shared" si="178"/>
        <v>0</v>
      </c>
      <c r="E580" s="38"/>
      <c r="F580" s="38"/>
      <c r="G580" s="38"/>
      <c r="H580" s="38"/>
      <c r="I580" s="38"/>
      <c r="J580" s="38"/>
      <c r="K580" s="38"/>
      <c r="L580" s="38"/>
      <c r="M580" s="38"/>
      <c r="N580" s="35"/>
      <c r="O580" s="111" t="str">
        <f>IF(((D580=0)),"   ","Нужно заполнить пункт 54 текстовой части - о случаях пересмотра соответствующих решений в судебном порядке")</f>
        <v xml:space="preserve">   </v>
      </c>
      <c r="P580" s="77"/>
    </row>
    <row r="581" spans="2:16" ht="45">
      <c r="B581" s="144" t="s">
        <v>906</v>
      </c>
      <c r="C581" s="145" t="s">
        <v>164</v>
      </c>
      <c r="D581" s="104">
        <f t="shared" si="178"/>
        <v>0</v>
      </c>
      <c r="E581" s="38"/>
      <c r="F581" s="38"/>
      <c r="G581" s="38"/>
      <c r="H581" s="38"/>
      <c r="I581" s="38"/>
      <c r="J581" s="38"/>
      <c r="K581" s="38"/>
      <c r="L581" s="38"/>
      <c r="M581" s="38"/>
      <c r="N581" s="35"/>
      <c r="O581" s="111" t="str">
        <f>IF(((D581=0)),"   ","Нужно заполнить пункт 54 текстовой части - о случаях пересмотра соответствующих решений в судебном порядке")</f>
        <v xml:space="preserve">   </v>
      </c>
      <c r="P581" s="77"/>
    </row>
    <row r="582" spans="2:16" ht="45">
      <c r="B582" s="143" t="s">
        <v>910</v>
      </c>
      <c r="C582" s="117" t="s">
        <v>1218</v>
      </c>
      <c r="D582" s="84"/>
      <c r="E582" s="85"/>
      <c r="F582" s="85"/>
      <c r="G582" s="85"/>
      <c r="H582" s="85"/>
      <c r="I582" s="85"/>
      <c r="J582" s="85"/>
      <c r="K582" s="85"/>
      <c r="L582" s="85"/>
      <c r="M582" s="85"/>
      <c r="N582" s="39"/>
      <c r="O582" s="30"/>
      <c r="P582" s="77"/>
    </row>
    <row r="583" spans="2:16">
      <c r="B583" s="144" t="s">
        <v>911</v>
      </c>
      <c r="C583" s="145" t="s">
        <v>165</v>
      </c>
      <c r="D583" s="104">
        <f t="shared" si="178"/>
        <v>0</v>
      </c>
      <c r="E583" s="38"/>
      <c r="F583" s="38"/>
      <c r="G583" s="38"/>
      <c r="H583" s="38"/>
      <c r="I583" s="38"/>
      <c r="J583" s="38"/>
      <c r="K583" s="38"/>
      <c r="L583" s="38"/>
      <c r="M583" s="38"/>
      <c r="N583" s="35"/>
      <c r="O583" s="111" t="str">
        <f>IF(((D583=0)),"   ","Нужно заполнить пункт 55 текстовой части - о случаях временного отстранения должностных лиц в соответствии с УПК")</f>
        <v xml:space="preserve">   </v>
      </c>
      <c r="P583" s="71"/>
    </row>
    <row r="584" spans="2:16">
      <c r="B584" s="144" t="s">
        <v>912</v>
      </c>
      <c r="C584" s="145" t="s">
        <v>166</v>
      </c>
      <c r="D584" s="104">
        <f t="shared" si="178"/>
        <v>0</v>
      </c>
      <c r="E584" s="38"/>
      <c r="F584" s="38"/>
      <c r="G584" s="38"/>
      <c r="H584" s="38"/>
      <c r="I584" s="38"/>
      <c r="J584" s="38"/>
      <c r="K584" s="38"/>
      <c r="L584" s="38"/>
      <c r="M584" s="38"/>
      <c r="N584" s="35"/>
      <c r="O584" s="111" t="str">
        <f>IF(((D584=0)),"   ","Нужно заполнить пункт 55 текстовой части - о случаях временного отстранения должностных лиц в соответствии с УПК")</f>
        <v xml:space="preserve">   </v>
      </c>
      <c r="P584" s="71"/>
    </row>
    <row r="585" spans="2:16" s="24" customFormat="1">
      <c r="B585" s="151" t="s">
        <v>913</v>
      </c>
      <c r="C585" s="142" t="s">
        <v>22</v>
      </c>
      <c r="D585" s="84"/>
      <c r="E585" s="85"/>
      <c r="F585" s="85"/>
      <c r="G585" s="85"/>
      <c r="H585" s="85"/>
      <c r="I585" s="85"/>
      <c r="J585" s="85"/>
      <c r="K585" s="85"/>
      <c r="L585" s="85"/>
      <c r="M585" s="85"/>
      <c r="N585" s="39"/>
      <c r="O585" s="30"/>
      <c r="P585" s="71"/>
    </row>
    <row r="586" spans="2:16" s="24" customFormat="1" ht="60">
      <c r="B586" s="143" t="s">
        <v>914</v>
      </c>
      <c r="C586" s="117" t="s">
        <v>205</v>
      </c>
      <c r="D586" s="104">
        <f t="shared" si="178"/>
        <v>1</v>
      </c>
      <c r="E586" s="42"/>
      <c r="F586" s="42"/>
      <c r="G586" s="42">
        <v>1</v>
      </c>
      <c r="H586" s="42"/>
      <c r="I586" s="42"/>
      <c r="J586" s="42"/>
      <c r="K586" s="42"/>
      <c r="L586" s="42"/>
      <c r="M586" s="42"/>
      <c r="N586" s="66" t="str">
        <f>IF((D586&lt;=D$10)*AND(E586&lt;=E$10)*AND(F586&lt;=F$10)*AND(G586&lt;=G$10)*AND(H586&lt;=H$10)*AND(I586&lt;=I$10)*AND(K586&lt;=K$10)*AND(L586&lt;=L$10)*AND(M586&lt;=M$10)*AND(J586&lt;=J$10),"Выполнено","ПРОВЕРИТЬ (таких муниципальных образований не может быть больше их общего числа)")</f>
        <v>Выполнено</v>
      </c>
      <c r="O586" s="35"/>
      <c r="P586" s="71"/>
    </row>
    <row r="587" spans="2:16" s="24" customFormat="1">
      <c r="B587" s="146" t="s">
        <v>915</v>
      </c>
      <c r="C587" s="117" t="s">
        <v>167</v>
      </c>
      <c r="D587" s="104">
        <f t="shared" si="178"/>
        <v>1</v>
      </c>
      <c r="E587" s="42"/>
      <c r="F587" s="42"/>
      <c r="G587" s="42">
        <v>1</v>
      </c>
      <c r="H587" s="42"/>
      <c r="I587" s="42"/>
      <c r="J587" s="42"/>
      <c r="K587" s="42"/>
      <c r="L587" s="42"/>
      <c r="M587" s="42"/>
      <c r="N587" s="66" t="str">
        <f>IF((D587&lt;=D586)*AND(E587&lt;=E586)*AND(F587&lt;=F586)*AND(G587&lt;=G586)*AND(H587&lt;=H586)*AND(I587&lt;=I586)*AND(K587&lt;=K586)*AND(L587&lt;=L586)*AND(M587&lt;=M586)*AND(J587&lt;=J586),"Выполнено","ПРОВЕРИТЬ (эта подстрока не может быть больше 22.1)
)")</f>
        <v>Выполнено</v>
      </c>
      <c r="O587" s="35"/>
      <c r="P587" s="71"/>
    </row>
    <row r="588" spans="2:16" s="24" customFormat="1">
      <c r="B588" s="146" t="s">
        <v>916</v>
      </c>
      <c r="C588" s="117" t="s">
        <v>551</v>
      </c>
      <c r="D588" s="104">
        <f t="shared" si="178"/>
        <v>0</v>
      </c>
      <c r="E588" s="42"/>
      <c r="F588" s="42"/>
      <c r="G588" s="42"/>
      <c r="H588" s="42"/>
      <c r="I588" s="42"/>
      <c r="J588" s="42"/>
      <c r="K588" s="42"/>
      <c r="L588" s="42"/>
      <c r="M588" s="42"/>
      <c r="N588" s="66" t="str">
        <f>IF((D588&lt;=D586)*AND(E588&lt;=E586)*AND(F588&lt;=F586)*AND(G588&lt;=G586)*AND(H588&lt;=H586)*AND(I588&lt;=I586)*AND(K588&lt;=K586)*AND(L588&lt;=L586)*AND(M588&lt;=M586)*AND(J588&lt;=J586),"Выполнено","ПРОВЕРИТЬ (эта подстрока не может быть больше 22.1)
)")</f>
        <v>Выполнено</v>
      </c>
      <c r="O588" s="35"/>
      <c r="P588" s="71"/>
    </row>
    <row r="589" spans="2:16" s="24" customFormat="1">
      <c r="B589" s="146" t="s">
        <v>917</v>
      </c>
      <c r="C589" s="117" t="s">
        <v>168</v>
      </c>
      <c r="D589" s="104">
        <f t="shared" si="178"/>
        <v>0</v>
      </c>
      <c r="E589" s="42"/>
      <c r="F589" s="42"/>
      <c r="G589" s="42"/>
      <c r="H589" s="42"/>
      <c r="I589" s="42"/>
      <c r="J589" s="42"/>
      <c r="K589" s="42"/>
      <c r="L589" s="42"/>
      <c r="M589" s="42"/>
      <c r="N589" s="66" t="str">
        <f>IF((D589&lt;=D586)*AND(E589&lt;=E586)*AND(F589&lt;=F586)*AND(G589&lt;=G586)*AND(H589&lt;=H586)*AND(I589&lt;=I586)*AND(K589&lt;=K586)*AND(L589&lt;=L586)*AND(M589&lt;=M586)*AND(J589&lt;=J586),"Выполнено","ПРОВЕРИТЬ (эта подстрока не может быть больше 22.1)
)")</f>
        <v>Выполнено</v>
      </c>
      <c r="O589" s="35"/>
      <c r="P589" s="71"/>
    </row>
    <row r="590" spans="2:16" s="24" customFormat="1">
      <c r="B590" s="146" t="s">
        <v>918</v>
      </c>
      <c r="C590" s="117" t="s">
        <v>169</v>
      </c>
      <c r="D590" s="104">
        <f t="shared" si="178"/>
        <v>0</v>
      </c>
      <c r="E590" s="42"/>
      <c r="F590" s="42"/>
      <c r="G590" s="42"/>
      <c r="H590" s="42"/>
      <c r="I590" s="42"/>
      <c r="J590" s="42"/>
      <c r="K590" s="42"/>
      <c r="L590" s="42"/>
      <c r="M590" s="42"/>
      <c r="N590" s="66" t="str">
        <f>IF((D590&lt;=D586)*AND(E590&lt;=E586)*AND(F590&lt;=F586)*AND(G590&lt;=G586)*AND(H590&lt;=H586)*AND(I590&lt;=I586)*AND(K590&lt;=K586)*AND(L590&lt;=L586)*AND(M590&lt;=M586)*AND(J590&lt;=J586),"Выполнено","ПРОВЕРИТЬ (эта подстрока не может быть больше 22.1)
)")</f>
        <v>Выполнено</v>
      </c>
      <c r="O590" s="35"/>
      <c r="P590" s="71"/>
    </row>
    <row r="591" spans="2:16" s="24" customFormat="1" ht="75">
      <c r="B591" s="146" t="s">
        <v>919</v>
      </c>
      <c r="C591" s="117" t="s">
        <v>546</v>
      </c>
      <c r="D591" s="104">
        <f t="shared" si="178"/>
        <v>0</v>
      </c>
      <c r="E591" s="42"/>
      <c r="F591" s="42"/>
      <c r="G591" s="42"/>
      <c r="H591" s="42"/>
      <c r="I591" s="42"/>
      <c r="J591" s="42"/>
      <c r="K591" s="42"/>
      <c r="L591" s="42"/>
      <c r="M591" s="42"/>
      <c r="N591" s="66" t="str">
        <f>IF((D591&lt;=D$10)*AND(E591&lt;=E$10)*AND(F591&lt;=F$10)*AND(G591&lt;=G$10)*AND(H591&lt;=H$10)*AND(I591&lt;=I$10)*AND(K591&lt;=K$10)*AND(L591&lt;=L$10)*AND(M591&lt;=M$10)*AND(J591&lt;=J$10),"Выполнено","ПРОВЕРИТЬ (таких муниципальных образований не может быть больше их общего числа)")</f>
        <v>Выполнено</v>
      </c>
      <c r="O591" s="35"/>
      <c r="P591" s="71"/>
    </row>
    <row r="592" spans="2:16">
      <c r="B592" s="146" t="s">
        <v>920</v>
      </c>
      <c r="C592" s="117" t="s">
        <v>167</v>
      </c>
      <c r="D592" s="104">
        <f t="shared" si="178"/>
        <v>0</v>
      </c>
      <c r="E592" s="42"/>
      <c r="F592" s="42"/>
      <c r="G592" s="42"/>
      <c r="H592" s="42"/>
      <c r="I592" s="42"/>
      <c r="J592" s="42"/>
      <c r="K592" s="42"/>
      <c r="L592" s="42"/>
      <c r="M592" s="42"/>
      <c r="N592" s="66" t="str">
        <f>IF((D592&lt;=D591)*AND(E592&lt;=E591)*AND(F592&lt;=F591)*AND(G592&lt;=G591)*AND(H592&lt;=H591)*AND(I592&lt;=I591)*AND(K592&lt;=K591)*AND(L592&lt;=L591)*AND(M592&lt;=M591)*AND(J592&lt;=J591),"Выполнено","ПРОВЕРИТЬ (эта подстрока не может быть больше 22.2)
)")</f>
        <v>Выполнено</v>
      </c>
      <c r="O592" s="35"/>
      <c r="P592" s="77"/>
    </row>
    <row r="593" spans="2:16">
      <c r="B593" s="146" t="s">
        <v>921</v>
      </c>
      <c r="C593" s="117" t="s">
        <v>551</v>
      </c>
      <c r="D593" s="104">
        <f t="shared" si="178"/>
        <v>0</v>
      </c>
      <c r="E593" s="42"/>
      <c r="F593" s="42"/>
      <c r="G593" s="42"/>
      <c r="H593" s="42"/>
      <c r="I593" s="42"/>
      <c r="J593" s="42"/>
      <c r="K593" s="42"/>
      <c r="L593" s="42"/>
      <c r="M593" s="42"/>
      <c r="N593" s="66" t="str">
        <f>IF((D593&lt;=D591)*AND(E593&lt;=E591)*AND(F593&lt;=F591)*AND(G593&lt;=G591)*AND(H593&lt;=H591)*AND(I593&lt;=I591)*AND(K593&lt;=K591)*AND(L593&lt;=L591)*AND(M593&lt;=M591)*AND(J593&lt;=J591),"Выполнено","ПРОВЕРИТЬ (эта подстрока не может быть больше 22.2)
)")</f>
        <v>Выполнено</v>
      </c>
      <c r="O593" s="35"/>
      <c r="P593" s="71"/>
    </row>
    <row r="594" spans="2:16">
      <c r="B594" s="146" t="s">
        <v>922</v>
      </c>
      <c r="C594" s="117" t="s">
        <v>168</v>
      </c>
      <c r="D594" s="104">
        <f t="shared" si="178"/>
        <v>0</v>
      </c>
      <c r="E594" s="42"/>
      <c r="F594" s="42"/>
      <c r="G594" s="42"/>
      <c r="H594" s="42"/>
      <c r="I594" s="42"/>
      <c r="J594" s="42"/>
      <c r="K594" s="42"/>
      <c r="L594" s="42"/>
      <c r="M594" s="42"/>
      <c r="N594" s="66" t="str">
        <f>IF((D594&lt;=D591)*AND(E594&lt;=E591)*AND(F594&lt;=F591)*AND(G594&lt;=G591)*AND(H594&lt;=H591)*AND(I594&lt;=I591)*AND(K594&lt;=K591)*AND(L594&lt;=L591)*AND(M594&lt;=M591)*AND(J594&lt;=J591),"Выполнено","ПРОВЕРИТЬ (эта подстрока не может быть больше 22.2)
)")</f>
        <v>Выполнено</v>
      </c>
      <c r="O594" s="35"/>
      <c r="P594" s="77"/>
    </row>
    <row r="595" spans="2:16">
      <c r="B595" s="146" t="s">
        <v>923</v>
      </c>
      <c r="C595" s="117" t="s">
        <v>169</v>
      </c>
      <c r="D595" s="104">
        <f t="shared" si="178"/>
        <v>0</v>
      </c>
      <c r="E595" s="42"/>
      <c r="F595" s="42"/>
      <c r="G595" s="42"/>
      <c r="H595" s="42"/>
      <c r="I595" s="42"/>
      <c r="J595" s="42"/>
      <c r="K595" s="42"/>
      <c r="L595" s="42"/>
      <c r="M595" s="42"/>
      <c r="N595" s="66" t="str">
        <f>IF((D595&lt;=D591)*AND(E595&lt;=E591)*AND(F595&lt;=F591)*AND(G595&lt;=G591)*AND(H595&lt;=H591)*AND(I595&lt;=I591)*AND(K595&lt;=K591)*AND(L595&lt;=L591)*AND(M595&lt;=M591)*AND(J595&lt;=J591),"Выполнено","ПРОВЕРИТЬ (эта подстрока не может быть больше 22.2)
)")</f>
        <v>Выполнено</v>
      </c>
      <c r="O595" s="35"/>
      <c r="P595" s="77"/>
    </row>
    <row r="596" spans="2:16" ht="45">
      <c r="B596" s="146" t="s">
        <v>924</v>
      </c>
      <c r="C596" s="117" t="s">
        <v>406</v>
      </c>
      <c r="D596" s="104">
        <f t="shared" si="178"/>
        <v>0</v>
      </c>
      <c r="E596" s="42"/>
      <c r="F596" s="42"/>
      <c r="G596" s="42"/>
      <c r="H596" s="42"/>
      <c r="I596" s="42"/>
      <c r="J596" s="42"/>
      <c r="K596" s="42"/>
      <c r="L596" s="42"/>
      <c r="M596" s="42"/>
      <c r="N596" s="66" t="str">
        <f>IF((D596&lt;=D$10-D586)*AND(E596&lt;=E$10-E586)*AND(F596&lt;=F$10-F586)*AND(G596&lt;=G$10-G586)*AND(H596&lt;=H$10-H586)*AND(I596&lt;=I$10-I586)*AND(K596&lt;=K$10-K586)*AND(L596&lt;=L$10-L586)*AND(M596&lt;=M$10-M586)*AND(J596&lt;=J$10-J586)*AND(D596&lt;=D$10-D591)*AND(E596&lt;=E$10-E591)*AND(F596&lt;=F$10-F591)*AND(G596&lt;=G$10-G591)*AND(H596&lt;=H$10-H591)*AND(I596&lt;=I$10-I591)*AND(K596&lt;=K$10-K591)*AND(L596&lt;=L$10-L591)*AND(M596&lt;=M$10-M591)*AND(J596&lt;=J$10-J591),"Выполнено","ПРОВЕРИТЬ (таких муниципальных образований не может быть больше разности между общим числом и числом имеющих СМИ муниципалитетов)")</f>
        <v>Выполнено</v>
      </c>
      <c r="O596" s="35"/>
      <c r="P596" s="71"/>
    </row>
    <row r="597" spans="2:16" ht="30">
      <c r="B597" s="151" t="s">
        <v>925</v>
      </c>
      <c r="C597" s="142" t="s">
        <v>631</v>
      </c>
      <c r="D597" s="84"/>
      <c r="E597" s="85"/>
      <c r="F597" s="85"/>
      <c r="G597" s="85"/>
      <c r="H597" s="85"/>
      <c r="I597" s="85"/>
      <c r="J597" s="85"/>
      <c r="K597" s="85"/>
      <c r="L597" s="85"/>
      <c r="M597" s="85"/>
      <c r="N597" s="39"/>
      <c r="O597" s="106"/>
      <c r="P597" s="77"/>
    </row>
    <row r="598" spans="2:16" ht="60">
      <c r="B598" s="164" t="s">
        <v>23</v>
      </c>
      <c r="C598" s="117" t="s">
        <v>1287</v>
      </c>
      <c r="D598" s="104">
        <f t="shared" si="178"/>
        <v>1</v>
      </c>
      <c r="E598" s="42"/>
      <c r="F598" s="42"/>
      <c r="G598" s="42">
        <v>1</v>
      </c>
      <c r="H598" s="42"/>
      <c r="I598" s="42"/>
      <c r="J598" s="42"/>
      <c r="K598" s="42"/>
      <c r="L598" s="42"/>
      <c r="M598" s="42"/>
      <c r="N598" s="66" t="str">
        <f>IF((D598&lt;=D$10)*AND(E598&lt;=E$10)*AND(F598&lt;=F$10)*AND(G598&lt;=G$10)*AND(H598&lt;=H$10)*AND(I598&lt;=I$10)*AND(K598&lt;=K$10)*AND(L598&lt;=L$10)*AND(M598&lt;=M$10)*AND(J598&lt;=J$10),"Выполнено","ПРОВЕРИТЬ (таких муниципальных образований не может быть больше их общего числа)")</f>
        <v>Выполнено</v>
      </c>
      <c r="O598" s="111" t="str">
        <f>IF(((J598=J10)),"   ","Подсказка - у административных центров субъектов Российской Федерации обычно есть свои сайты")</f>
        <v xml:space="preserve">   </v>
      </c>
      <c r="P598" s="77"/>
    </row>
    <row r="599" spans="2:16">
      <c r="B599" s="146" t="s">
        <v>32</v>
      </c>
      <c r="C599" s="117" t="s">
        <v>632</v>
      </c>
      <c r="D599" s="104">
        <f t="shared" si="178"/>
        <v>1</v>
      </c>
      <c r="E599" s="42"/>
      <c r="F599" s="42"/>
      <c r="G599" s="42">
        <v>1</v>
      </c>
      <c r="H599" s="42"/>
      <c r="I599" s="42"/>
      <c r="J599" s="42"/>
      <c r="K599" s="42"/>
      <c r="L599" s="42"/>
      <c r="M599" s="42"/>
      <c r="N599" s="66" t="str">
        <f>IF((D599&gt;=D598)*AND(E599&gt;=E598)*AND(F599&gt;=F598)*AND(G599&gt;=G598)*AND(H599&gt;=H598)*AND(I599&gt;=I598)*AND(K599&gt;=K598)*AND(L599&gt;=L598)*AND(M599&gt;=M598)*AND(J599&gt;=J598),"Выполнено","ПРОВЕРИТЬ (эта строка не может быть меньше предыдущей)
)")</f>
        <v>Выполнено</v>
      </c>
      <c r="O599" s="108"/>
      <c r="P599" s="77"/>
    </row>
    <row r="600" spans="2:16" ht="30">
      <c r="B600" s="141" t="s">
        <v>519</v>
      </c>
      <c r="C600" s="142" t="s">
        <v>31</v>
      </c>
      <c r="D600" s="84"/>
      <c r="E600" s="85"/>
      <c r="F600" s="85"/>
      <c r="G600" s="85"/>
      <c r="H600" s="85"/>
      <c r="I600" s="85"/>
      <c r="J600" s="85"/>
      <c r="K600" s="85"/>
      <c r="L600" s="85"/>
      <c r="M600" s="85"/>
      <c r="N600" s="39"/>
      <c r="O600" s="30"/>
      <c r="P600" s="71"/>
    </row>
    <row r="601" spans="2:16" s="24" customFormat="1" ht="75">
      <c r="B601" s="143" t="s">
        <v>520</v>
      </c>
      <c r="C601" s="117" t="s">
        <v>1288</v>
      </c>
      <c r="D601" s="84"/>
      <c r="E601" s="85"/>
      <c r="F601" s="85"/>
      <c r="G601" s="85"/>
      <c r="H601" s="85"/>
      <c r="I601" s="85"/>
      <c r="J601" s="85"/>
      <c r="K601" s="85"/>
      <c r="L601" s="85"/>
      <c r="M601" s="85"/>
      <c r="N601" s="39"/>
      <c r="O601" s="30"/>
      <c r="P601" s="71"/>
    </row>
    <row r="602" spans="2:16" s="24" customFormat="1" ht="30">
      <c r="B602" s="143" t="s">
        <v>521</v>
      </c>
      <c r="C602" s="117" t="s">
        <v>552</v>
      </c>
      <c r="D602" s="104">
        <f t="shared" ref="D602:D604" si="180">SUM(E602:I602)+SUM(K602:M602)</f>
        <v>1</v>
      </c>
      <c r="E602" s="42"/>
      <c r="F602" s="42"/>
      <c r="G602" s="42">
        <v>1</v>
      </c>
      <c r="H602" s="42"/>
      <c r="I602" s="42"/>
      <c r="J602" s="42"/>
      <c r="K602" s="42"/>
      <c r="L602" s="42"/>
      <c r="M602" s="42"/>
      <c r="N602" s="66" t="str">
        <f>IF((D602&lt;=D$10)*AND(E602&lt;=E$10)*AND(F602&lt;=F$10)*AND(G602&lt;=G$10)*AND(H602&lt;=H$10)*AND(I602&lt;=I$10)*AND(K602&lt;=K$10)*AND(L602&lt;=L$10)*AND(M602&lt;=M$10)*AND(J602&lt;=J$10),"Выполнено","ПРОВЕРИТЬ (таких муниципальных образований не может быть больше их общего числа)")</f>
        <v>Выполнено</v>
      </c>
      <c r="O602" s="108"/>
      <c r="P602" s="71"/>
    </row>
    <row r="603" spans="2:16" s="24" customFormat="1" ht="45">
      <c r="B603" s="143" t="s">
        <v>522</v>
      </c>
      <c r="C603" s="117" t="s">
        <v>553</v>
      </c>
      <c r="D603" s="104">
        <f t="shared" si="180"/>
        <v>1</v>
      </c>
      <c r="E603" s="42"/>
      <c r="F603" s="42"/>
      <c r="G603" s="42">
        <v>1</v>
      </c>
      <c r="H603" s="42"/>
      <c r="I603" s="42"/>
      <c r="J603" s="42"/>
      <c r="K603" s="42"/>
      <c r="L603" s="42"/>
      <c r="M603" s="42"/>
      <c r="N603" s="66" t="str">
        <f>IF((D603&lt;=D$10)*AND(E603&lt;=E$10)*AND(F603&lt;=F$10)*AND(G603&lt;=G$10)*AND(H603&lt;=H$10)*AND(I603&lt;=I$10)*AND(K603&lt;=K$10)*AND(L603&lt;=L$10)*AND(M603&lt;=M$10)*AND(J603&lt;=J$10),"Выполнено","ПРОВЕРИТЬ (таких муниципальных образований не может быть больше их общего числа)")</f>
        <v>Выполнено</v>
      </c>
      <c r="O603" s="108"/>
      <c r="P603" s="71"/>
    </row>
    <row r="604" spans="2:16" ht="45">
      <c r="B604" s="143" t="s">
        <v>523</v>
      </c>
      <c r="C604" s="117" t="s">
        <v>1207</v>
      </c>
      <c r="D604" s="104">
        <f t="shared" si="180"/>
        <v>0</v>
      </c>
      <c r="E604" s="42"/>
      <c r="F604" s="42"/>
      <c r="G604" s="42"/>
      <c r="H604" s="42"/>
      <c r="I604" s="42"/>
      <c r="J604" s="42"/>
      <c r="K604" s="42"/>
      <c r="L604" s="42"/>
      <c r="M604" s="42"/>
      <c r="N604" s="66" t="str">
        <f>IF((D604&lt;=D603)*AND(E604&lt;=E603)*AND(F604&lt;=F603)*AND(G604&lt;=G603)*AND(H604&lt;=H603)*AND(I604&lt;=I603)*AND(K604&lt;=K603)*AND(L604&lt;=L603)*AND(M604&lt;=M603)*AND(J604&lt;=J603),"Выполнено","ПРОВЕРИТЬ (значения этой строки не могут быть больше предыдущей)
)")</f>
        <v>Выполнено</v>
      </c>
      <c r="O604" s="108"/>
      <c r="P604" s="71"/>
    </row>
    <row r="605" spans="2:16" s="24" customFormat="1" ht="60">
      <c r="B605" s="143" t="s">
        <v>524</v>
      </c>
      <c r="C605" s="117" t="s">
        <v>1208</v>
      </c>
      <c r="D605" s="84"/>
      <c r="E605" s="85"/>
      <c r="F605" s="85"/>
      <c r="G605" s="85"/>
      <c r="H605" s="85"/>
      <c r="I605" s="85"/>
      <c r="J605" s="85"/>
      <c r="K605" s="85"/>
      <c r="L605" s="85"/>
      <c r="M605" s="85"/>
      <c r="N605" s="39"/>
      <c r="O605" s="30"/>
      <c r="P605" s="71"/>
    </row>
    <row r="606" spans="2:16" s="24" customFormat="1">
      <c r="B606" s="143" t="s">
        <v>525</v>
      </c>
      <c r="C606" s="117" t="s">
        <v>170</v>
      </c>
      <c r="D606" s="104">
        <f t="shared" ref="D606:D614" si="181">SUM(E606:I606)+SUM(K606:M606)</f>
        <v>0</v>
      </c>
      <c r="E606" s="42"/>
      <c r="F606" s="42"/>
      <c r="G606" s="42"/>
      <c r="H606" s="42"/>
      <c r="I606" s="42"/>
      <c r="J606" s="42"/>
      <c r="K606" s="42"/>
      <c r="L606" s="42"/>
      <c r="M606" s="42"/>
      <c r="N606" s="66" t="str">
        <f>IF((D606&lt;=D$10)*AND(E606&lt;=E$10)*AND(F606&lt;=F$10)*AND(G606&lt;=G$10)*AND(H606&lt;=H$10)*AND(I606&lt;=I$10)*AND(K606&lt;=K$10)*AND(L606&lt;=L$10)*AND(M606&lt;=M$10)*AND(J606&lt;=J$10),"Выполнено","ПРОВЕРИТЬ (таких муниципальных образований не может быть больше их общего числа)")</f>
        <v>Выполнено</v>
      </c>
      <c r="O606" s="108"/>
      <c r="P606" s="71"/>
    </row>
    <row r="607" spans="2:16" s="24" customFormat="1" ht="45">
      <c r="B607" s="143" t="s">
        <v>526</v>
      </c>
      <c r="C607" s="117" t="s">
        <v>171</v>
      </c>
      <c r="D607" s="104">
        <f t="shared" si="181"/>
        <v>0</v>
      </c>
      <c r="E607" s="42"/>
      <c r="F607" s="42"/>
      <c r="G607" s="42"/>
      <c r="H607" s="42"/>
      <c r="I607" s="42"/>
      <c r="J607" s="42"/>
      <c r="K607" s="42"/>
      <c r="L607" s="42"/>
      <c r="M607" s="42"/>
      <c r="N607" s="66" t="str">
        <f>IF((D607&lt;=D$10)*AND(E607&lt;=E$10)*AND(F607&lt;=F$10)*AND(G607&lt;=G$10)*AND(H607&lt;=H$10)*AND(I607&lt;=I$10)*AND(K607&lt;=K$10)*AND(L607&lt;=L$10)*AND(M607&lt;=M$10)*AND(J607&lt;=J$10),"Выполнено","ПРОВЕРИТЬ (таких муниципальных образований не может быть больше их общего числа)")</f>
        <v>Выполнено</v>
      </c>
      <c r="O607" s="108"/>
      <c r="P607" s="71"/>
    </row>
    <row r="608" spans="2:16" s="24" customFormat="1" ht="45">
      <c r="B608" s="143" t="s">
        <v>527</v>
      </c>
      <c r="C608" s="117" t="s">
        <v>172</v>
      </c>
      <c r="D608" s="104">
        <f t="shared" si="181"/>
        <v>0</v>
      </c>
      <c r="E608" s="42"/>
      <c r="F608" s="42"/>
      <c r="G608" s="42"/>
      <c r="H608" s="42"/>
      <c r="I608" s="42"/>
      <c r="J608" s="42"/>
      <c r="K608" s="42"/>
      <c r="L608" s="42"/>
      <c r="M608" s="42"/>
      <c r="N608" s="66" t="str">
        <f>IF((D608&lt;=D607)*AND(E608&lt;=E607)*AND(F608&lt;=F607)*AND(G608&lt;=G607)*AND(H608&lt;=H607)*AND(I608&lt;=I607)*AND(K608&lt;=K607)*AND(L608&lt;=L607)*AND(M608&lt;=M607)*AND(J608&lt;=J607),"Выполнено","ПРОВЕРИТЬ (значения этой строки не могут быть больше предыдущей)
)")</f>
        <v>Выполнено</v>
      </c>
      <c r="O608" s="108"/>
      <c r="P608" s="71"/>
    </row>
    <row r="609" spans="2:16" s="24" customFormat="1" ht="45">
      <c r="B609" s="143" t="s">
        <v>361</v>
      </c>
      <c r="C609" s="117" t="s">
        <v>1209</v>
      </c>
      <c r="D609" s="104">
        <f t="shared" si="181"/>
        <v>0</v>
      </c>
      <c r="E609" s="42"/>
      <c r="F609" s="42"/>
      <c r="G609" s="42"/>
      <c r="H609" s="42"/>
      <c r="I609" s="42"/>
      <c r="J609" s="42"/>
      <c r="K609" s="42"/>
      <c r="L609" s="42"/>
      <c r="M609" s="42"/>
      <c r="N609" s="66" t="str">
        <f>IF((D609&lt;=D$10-D603)*AND(E609&lt;=E$10-E603)*AND(F609&lt;=F$10-F603)*AND(G609&lt;=G$10-G603)*AND(H609&lt;=H$10-H603)*AND(I609&lt;=I$10-I603)*AND(K609&lt;=K$10-K603)*AND(L609&lt;=L$10-L603)*AND(M609&lt;=M$10-M603)*AND(J609&lt;=J$10-J603),"Выполнено","ПРОВЕРИТЬ (таких муниципальных образований не может быть больше разности между общим числом муниципалитетов и числом муниципалитетов с учреждениями)")</f>
        <v>Выполнено</v>
      </c>
      <c r="O609" s="108"/>
      <c r="P609" s="71"/>
    </row>
    <row r="610" spans="2:16" s="24" customFormat="1">
      <c r="B610" s="143" t="s">
        <v>927</v>
      </c>
      <c r="C610" s="117" t="s">
        <v>33</v>
      </c>
      <c r="D610" s="104">
        <f t="shared" si="181"/>
        <v>1</v>
      </c>
      <c r="E610" s="42"/>
      <c r="F610" s="42"/>
      <c r="G610" s="42">
        <v>1</v>
      </c>
      <c r="H610" s="42"/>
      <c r="I610" s="42"/>
      <c r="J610" s="42"/>
      <c r="K610" s="42"/>
      <c r="L610" s="42"/>
      <c r="M610" s="42"/>
      <c r="N610" s="66" t="str">
        <f>IF((D610&gt;=D602)*AND(E610&gt;=E602)*AND(F610&gt;=F602)*AND(G610&gt;=G602)*AND(H610&gt;=H602)*AND(I610&gt;=I602)*AND(K610&gt;=K602)*AND(L610&gt;=L602)*AND(M610&gt;=M602)*AND(J610&gt;=J602),"Выполнено","ПРОВЕРИТЬ (самих МУПов не может быть меньше чем муниципалитетов - учредителей МУПов)
)")</f>
        <v>Выполнено</v>
      </c>
      <c r="O610" s="35"/>
      <c r="P610" s="71"/>
    </row>
    <row r="611" spans="2:16" s="105" customFormat="1">
      <c r="B611" s="143" t="s">
        <v>1238</v>
      </c>
      <c r="C611" s="117" t="s">
        <v>1239</v>
      </c>
      <c r="D611" s="104">
        <f t="shared" si="181"/>
        <v>1</v>
      </c>
      <c r="E611" s="42"/>
      <c r="F611" s="42"/>
      <c r="G611" s="42">
        <v>1</v>
      </c>
      <c r="H611" s="42"/>
      <c r="I611" s="42"/>
      <c r="J611" s="42"/>
      <c r="K611" s="42"/>
      <c r="L611" s="42"/>
      <c r="M611" s="42"/>
      <c r="N611" s="66"/>
      <c r="O611" s="108"/>
      <c r="P611" s="71"/>
    </row>
    <row r="612" spans="2:16" s="105" customFormat="1">
      <c r="B612" s="143" t="s">
        <v>1240</v>
      </c>
      <c r="C612" s="117" t="s">
        <v>1241</v>
      </c>
      <c r="D612" s="104">
        <f t="shared" si="181"/>
        <v>1</v>
      </c>
      <c r="E612" s="42"/>
      <c r="F612" s="42"/>
      <c r="G612" s="42">
        <v>1</v>
      </c>
      <c r="H612" s="42"/>
      <c r="I612" s="42"/>
      <c r="J612" s="42"/>
      <c r="K612" s="42"/>
      <c r="L612" s="42"/>
      <c r="M612" s="42"/>
      <c r="N612" s="66"/>
      <c r="O612" s="108"/>
      <c r="P612" s="71"/>
    </row>
    <row r="613" spans="2:16" s="24" customFormat="1" ht="45">
      <c r="B613" s="143" t="s">
        <v>928</v>
      </c>
      <c r="C613" s="117" t="s">
        <v>554</v>
      </c>
      <c r="D613" s="104">
        <f t="shared" si="181"/>
        <v>2</v>
      </c>
      <c r="E613" s="42"/>
      <c r="F613" s="42"/>
      <c r="G613" s="42">
        <v>2</v>
      </c>
      <c r="H613" s="42"/>
      <c r="I613" s="42"/>
      <c r="J613" s="42"/>
      <c r="K613" s="42"/>
      <c r="L613" s="42"/>
      <c r="M613" s="42"/>
      <c r="N613" s="66" t="str">
        <f>IF((D613&gt;=D603)*AND(E613&gt;=E603)*AND(F613&gt;=F603)*AND(G613&gt;=G603)*AND(H613&gt;=H603)*AND(I613&gt;=I603)*AND(K613&gt;=K603)*AND(L613&gt;=L603)*AND(M613&gt;=M603)*AND(J613&gt;=J603),"Выполнено","ПРОВЕРИТЬ (самих учреждений не может быть меньше чем муниципалитетов с учреждениями)
)")</f>
        <v>Выполнено</v>
      </c>
      <c r="O613" s="35"/>
      <c r="P613" s="71"/>
    </row>
    <row r="614" spans="2:16" s="24" customFormat="1" ht="30">
      <c r="B614" s="143" t="s">
        <v>929</v>
      </c>
      <c r="C614" s="117" t="s">
        <v>1244</v>
      </c>
      <c r="D614" s="104">
        <f t="shared" si="181"/>
        <v>1</v>
      </c>
      <c r="E614" s="61">
        <f t="shared" ref="E614:M614" si="182">E613-E416</f>
        <v>0</v>
      </c>
      <c r="F614" s="61">
        <f t="shared" si="182"/>
        <v>0</v>
      </c>
      <c r="G614" s="61">
        <f t="shared" si="182"/>
        <v>1</v>
      </c>
      <c r="H614" s="61">
        <f t="shared" si="182"/>
        <v>0</v>
      </c>
      <c r="I614" s="61">
        <f t="shared" si="182"/>
        <v>0</v>
      </c>
      <c r="J614" s="61">
        <f t="shared" si="182"/>
        <v>0</v>
      </c>
      <c r="K614" s="61">
        <f t="shared" si="182"/>
        <v>0</v>
      </c>
      <c r="L614" s="61">
        <f t="shared" si="182"/>
        <v>0</v>
      </c>
      <c r="M614" s="61">
        <f t="shared" si="182"/>
        <v>0</v>
      </c>
      <c r="N614" s="66" t="str">
        <f>IF((D614&gt;=0)*AND(E614&gt;=0)*AND(F614&gt;=0)*AND(G614&gt;=0)*AND(H614&gt;=0)*AND(I614&gt;=0)*AND(K614&gt;=0)*AND(L614&gt;=0)*AND(M614&gt;=0)*AND(J614&gt;=0),"Выполнено","ПРОВЕРИТЬ (если органов местного самоуправления - юридических лиц (строка 16) оказалось больше, чем муниципальных учреждений (строка 24.5), значит при их подсчете допущены ошибки)")</f>
        <v>Выполнено</v>
      </c>
      <c r="O614" s="108"/>
      <c r="P614" s="77"/>
    </row>
    <row r="615" spans="2:16" s="105" customFormat="1" ht="45">
      <c r="B615" s="163" t="s">
        <v>1242</v>
      </c>
      <c r="C615" s="117" t="s">
        <v>1245</v>
      </c>
      <c r="D615" s="104">
        <f t="shared" ref="D615:D616" si="183">SUM(E615:I615)+SUM(K615:M615)</f>
        <v>5</v>
      </c>
      <c r="E615" s="42"/>
      <c r="F615" s="42"/>
      <c r="G615" s="42">
        <v>5</v>
      </c>
      <c r="H615" s="42"/>
      <c r="I615" s="42"/>
      <c r="J615" s="42"/>
      <c r="K615" s="42"/>
      <c r="L615" s="42"/>
      <c r="M615" s="42"/>
      <c r="N615" s="66"/>
      <c r="O615" s="108"/>
      <c r="P615" s="110"/>
    </row>
    <row r="616" spans="2:16" s="105" customFormat="1" ht="60">
      <c r="B616" s="143" t="s">
        <v>1243</v>
      </c>
      <c r="C616" s="117" t="s">
        <v>1246</v>
      </c>
      <c r="D616" s="104">
        <f t="shared" si="183"/>
        <v>5</v>
      </c>
      <c r="E616" s="42"/>
      <c r="F616" s="42"/>
      <c r="G616" s="42">
        <v>5</v>
      </c>
      <c r="H616" s="42"/>
      <c r="I616" s="42"/>
      <c r="J616" s="42"/>
      <c r="K616" s="42"/>
      <c r="L616" s="42"/>
      <c r="M616" s="42"/>
      <c r="N616" s="66"/>
      <c r="O616" s="108"/>
      <c r="P616" s="110"/>
    </row>
    <row r="617" spans="2:16" s="24" customFormat="1">
      <c r="B617" s="151" t="s">
        <v>37</v>
      </c>
      <c r="C617" s="142" t="s">
        <v>30</v>
      </c>
      <c r="D617" s="84"/>
      <c r="E617" s="85"/>
      <c r="F617" s="85"/>
      <c r="G617" s="85"/>
      <c r="H617" s="85"/>
      <c r="I617" s="85"/>
      <c r="J617" s="85"/>
      <c r="K617" s="85"/>
      <c r="L617" s="85"/>
      <c r="M617" s="85"/>
      <c r="N617" s="39"/>
      <c r="O617" s="30"/>
      <c r="P617" s="71"/>
    </row>
    <row r="618" spans="2:16" s="24" customFormat="1" ht="45">
      <c r="B618" s="146" t="s">
        <v>630</v>
      </c>
      <c r="C618" s="117" t="s">
        <v>204</v>
      </c>
      <c r="D618" s="104">
        <f t="shared" ref="D618:D624" si="184">SUM(E618:I618)+SUM(K618:M618)</f>
        <v>1</v>
      </c>
      <c r="E618" s="42"/>
      <c r="F618" s="42"/>
      <c r="G618" s="42">
        <v>1</v>
      </c>
      <c r="H618" s="42"/>
      <c r="I618" s="42"/>
      <c r="J618" s="40"/>
      <c r="K618" s="42"/>
      <c r="L618" s="42"/>
      <c r="M618" s="42"/>
      <c r="N618" s="66" t="str">
        <f>IF((D618&lt;=D$10)*AND(E618&lt;=E$10)*AND(F618&lt;=F$10)*AND(G618&lt;=G$10)*AND(H618&lt;=H$10)*AND(I618&lt;=I$10)*AND(K618&lt;=K$10)*AND(L618&lt;=L$10)*AND(M618&lt;=M$10)*AND(J618&lt;=J$10),"Выполнено","ПРОВЕРИТЬ (таких муниципальных образований не может быть больше их общего числа)")</f>
        <v>Выполнено</v>
      </c>
      <c r="O618" s="108"/>
      <c r="P618" s="77"/>
    </row>
    <row r="619" spans="2:16" s="24" customFormat="1">
      <c r="B619" s="146" t="s">
        <v>926</v>
      </c>
      <c r="C619" s="117" t="s">
        <v>173</v>
      </c>
      <c r="D619" s="104">
        <f t="shared" si="184"/>
        <v>1</v>
      </c>
      <c r="E619" s="42"/>
      <c r="F619" s="42"/>
      <c r="G619" s="42">
        <v>1</v>
      </c>
      <c r="H619" s="42"/>
      <c r="I619" s="42"/>
      <c r="J619" s="40"/>
      <c r="K619" s="42"/>
      <c r="L619" s="42"/>
      <c r="M619" s="42"/>
      <c r="N619" s="115" t="str">
        <f>IF((D619&lt;=D618)*AND(E619&lt;=E618)*AND(F619&lt;=F618)*AND(G619&lt;=G618)*AND(H619&lt;=H618)*AND(I619&lt;=I618)*AND(K619&lt;=K618)*AND(L619&lt;=L618)*AND(M619&lt;=M618)*AND(J619&lt;=J618),"Выполнено","ПРОВЕРИТЬ (эта подстрока не может быть больше 27.1)
)")</f>
        <v>Выполнено</v>
      </c>
      <c r="O619" s="108"/>
      <c r="P619" s="77"/>
    </row>
    <row r="620" spans="2:16" s="24" customFormat="1" ht="30">
      <c r="B620" s="144" t="s">
        <v>930</v>
      </c>
      <c r="C620" s="145" t="s">
        <v>174</v>
      </c>
      <c r="D620" s="104">
        <f t="shared" si="184"/>
        <v>0</v>
      </c>
      <c r="E620" s="38"/>
      <c r="F620" s="38"/>
      <c r="G620" s="38"/>
      <c r="H620" s="38"/>
      <c r="I620" s="38"/>
      <c r="J620" s="38"/>
      <c r="K620" s="38"/>
      <c r="L620" s="38"/>
      <c r="M620" s="38"/>
      <c r="N620" s="128" t="str">
        <f>IF((D620&lt;=D618)*AND(E620&lt;=E618)*AND(F620&lt;=F618)*AND(G620&lt;=G618)*AND(H620&lt;=H618)*AND(I620&lt;=I618)*AND(K620&lt;=K618)*AND(L620&lt;=L618)*AND(M620&lt;=M618)*AND(J620&lt;=J618)*AND(D620&lt;=D608)*AND(E620&lt;=E608)*AND(F620&lt;=F608)*AND(G620&lt;=G608)*AND(H620&lt;=H608)*AND(I620&lt;=I608)*AND(K620&lt;=K608)*AND(L620&lt;=L608)*AND(M620&lt;=M608)*AND(J620&lt;=J608),"Выполнено","ПРОВЕРИТЬ (эта подстрока не может быть больше 25.1 или 24.2.3.)
)")</f>
        <v>Выполнено</v>
      </c>
      <c r="O620" s="111" t="str">
        <f>IF(((D620=0)),"   ","Нужно заполнить пункт 56 текстовой части - об участии муниципалитетов в некоммерческих организациях")</f>
        <v xml:space="preserve">   </v>
      </c>
      <c r="P620" s="71"/>
    </row>
    <row r="621" spans="2:16" s="24" customFormat="1">
      <c r="B621" s="144" t="s">
        <v>931</v>
      </c>
      <c r="C621" s="145" t="s">
        <v>175</v>
      </c>
      <c r="D621" s="104">
        <f t="shared" si="184"/>
        <v>0</v>
      </c>
      <c r="E621" s="38"/>
      <c r="F621" s="38"/>
      <c r="G621" s="38"/>
      <c r="H621" s="38"/>
      <c r="I621" s="38"/>
      <c r="J621" s="38"/>
      <c r="K621" s="38"/>
      <c r="L621" s="38"/>
      <c r="M621" s="38"/>
      <c r="N621" s="66" t="str">
        <f>IF((D621&lt;=D618)*AND(E621&lt;=E618)*AND(F621&lt;=F618)*AND(G621&lt;=G618)*AND(H621&lt;=H618)*AND(I621&lt;=I618)*AND(K621&lt;=K618)*AND(L621&lt;=L618)*AND(M621&lt;=M618)*AND(J621&lt;=J618)*AND(D621&lt;=D606)*AND(E621&lt;=E606)*AND(F621&lt;=F606)*AND(G621&lt;=G606)*AND(H621&lt;=H606)*AND(I621&lt;=I606)*AND(K621&lt;=K606)*AND(L621&lt;=L606)*AND(M621&lt;=M606)*AND(J621&lt;=J606),"Выполнено","ПРОВЕРИТЬ (эта подстрока не может быть больше 27.1 или 26.2.1.)
)")</f>
        <v>Выполнено</v>
      </c>
      <c r="O621" s="111" t="str">
        <f>IF(((D621=0)),"   ","Нужно заполнить пункт 56 текстовой части - об участии в межмуниципальных хозяйственных организациях")</f>
        <v xml:space="preserve">   </v>
      </c>
      <c r="P621" s="77"/>
    </row>
    <row r="622" spans="2:16" s="24" customFormat="1" ht="30">
      <c r="B622" s="146" t="s">
        <v>932</v>
      </c>
      <c r="C622" s="117" t="s">
        <v>206</v>
      </c>
      <c r="D622" s="104">
        <f t="shared" si="184"/>
        <v>0</v>
      </c>
      <c r="E622" s="61">
        <f t="shared" ref="E622:M622" si="185">E10-E618</f>
        <v>0</v>
      </c>
      <c r="F622" s="61">
        <f t="shared" si="185"/>
        <v>0</v>
      </c>
      <c r="G622" s="61">
        <f t="shared" si="185"/>
        <v>0</v>
      </c>
      <c r="H622" s="61">
        <f t="shared" si="185"/>
        <v>0</v>
      </c>
      <c r="I622" s="61">
        <f t="shared" si="185"/>
        <v>0</v>
      </c>
      <c r="J622" s="61">
        <f t="shared" si="185"/>
        <v>0</v>
      </c>
      <c r="K622" s="61">
        <f t="shared" si="185"/>
        <v>0</v>
      </c>
      <c r="L622" s="61">
        <f t="shared" si="185"/>
        <v>0</v>
      </c>
      <c r="M622" s="61">
        <f t="shared" si="185"/>
        <v>0</v>
      </c>
      <c r="N622" s="108"/>
      <c r="O622" s="108"/>
      <c r="P622" s="77"/>
    </row>
    <row r="623" spans="2:16" s="24" customFormat="1" ht="60">
      <c r="B623" s="144" t="s">
        <v>933</v>
      </c>
      <c r="C623" s="145" t="s">
        <v>1258</v>
      </c>
      <c r="D623" s="104">
        <f t="shared" si="184"/>
        <v>0</v>
      </c>
      <c r="E623" s="38"/>
      <c r="F623" s="38"/>
      <c r="G623" s="38"/>
      <c r="H623" s="38"/>
      <c r="I623" s="38"/>
      <c r="J623" s="38"/>
      <c r="K623" s="38"/>
      <c r="L623" s="38"/>
      <c r="M623" s="38"/>
      <c r="N623" s="66" t="str">
        <f>IF((D623&lt;=D$10)*AND(E623&lt;=E$10)*AND(F623&lt;=F$10)*AND(G623&lt;=G$10)*AND(H623&lt;=H$10)*AND(I623&lt;=I$10)*AND(K623&lt;=K$10)*AND(L623&lt;=L$10)*AND(M623&lt;=M$10)*AND(J623&lt;=J$10),"Выполнено","ПРОВЕРИТЬ (таких муниципальных образований не может быть больше их общего числа)")</f>
        <v>Выполнено</v>
      </c>
      <c r="O623" s="111" t="str">
        <f>IF(((D623=0)),"   ","Нужно заполнить пункт 57 текстовой части - о двустороннем сотрудничестве муниципалитетов в пределах Российской Федерации")</f>
        <v xml:space="preserve">   </v>
      </c>
      <c r="P623" s="77"/>
    </row>
    <row r="624" spans="2:16" s="24" customFormat="1" ht="60">
      <c r="B624" s="144" t="s">
        <v>934</v>
      </c>
      <c r="C624" s="145" t="s">
        <v>407</v>
      </c>
      <c r="D624" s="104">
        <f t="shared" si="184"/>
        <v>0</v>
      </c>
      <c r="E624" s="38"/>
      <c r="F624" s="38"/>
      <c r="G624" s="38"/>
      <c r="H624" s="38"/>
      <c r="I624" s="38"/>
      <c r="J624" s="38"/>
      <c r="K624" s="38"/>
      <c r="L624" s="38"/>
      <c r="M624" s="38"/>
      <c r="N624" s="66" t="str">
        <f>IF((D624&lt;=D$10)*AND(E624&lt;=E$10)*AND(F624&lt;=F$10)*AND(G624&lt;=G$10)*AND(H624&lt;=H$10)*AND(I624&lt;=I$10)*AND(K624&lt;=K$10)*AND(L624&lt;=L$10)*AND(M624&lt;=M$10)*AND(J624&lt;=J$10),"Выполнено","ПРОВЕРИТЬ (таких муниципальных образований не может быть больше их общего числа)")</f>
        <v>Выполнено</v>
      </c>
      <c r="O624" s="111" t="str">
        <f>IF(((D624=0)),"   ","Нужно заполнить пункт 57 текстовой части - о сотрудничестве с зарубежными муниципалитетами")</f>
        <v xml:space="preserve">   </v>
      </c>
      <c r="P624" s="71"/>
    </row>
    <row r="625" spans="2:16" s="24" customFormat="1">
      <c r="B625" s="151" t="s">
        <v>935</v>
      </c>
      <c r="C625" s="142" t="s">
        <v>1259</v>
      </c>
      <c r="D625" s="84"/>
      <c r="E625" s="85"/>
      <c r="F625" s="85"/>
      <c r="G625" s="85"/>
      <c r="H625" s="85"/>
      <c r="I625" s="85"/>
      <c r="J625" s="85"/>
      <c r="K625" s="85"/>
      <c r="L625" s="85"/>
      <c r="M625" s="85"/>
      <c r="N625" s="39"/>
      <c r="O625" s="30"/>
      <c r="P625" s="71"/>
    </row>
    <row r="626" spans="2:16" s="24" customFormat="1" ht="30">
      <c r="B626" s="144" t="s">
        <v>936</v>
      </c>
      <c r="C626" s="145" t="s">
        <v>1219</v>
      </c>
      <c r="D626" s="104">
        <f t="shared" ref="D626:D629" si="186">SUM(E626:I626)+SUM(K626:M626)</f>
        <v>0</v>
      </c>
      <c r="E626" s="38"/>
      <c r="F626" s="38"/>
      <c r="G626" s="38"/>
      <c r="H626" s="38"/>
      <c r="I626" s="38"/>
      <c r="J626" s="38"/>
      <c r="K626" s="38"/>
      <c r="L626" s="38"/>
      <c r="M626" s="38"/>
      <c r="N626" s="66" t="str">
        <f>IF((D626&lt;=D144)*AND(E626&lt;=E144)*AND(F626&lt;=F144)*AND(G626&lt;=G144)*AND(H626&lt;=H144)*AND(I626&lt;=I144)*AND(K626&lt;=K144)*AND(L626&lt;=L144)*AND(M626&lt;=M144)*AND(J626&lt;=J144),"Выполнено","ПРОВЕРИТЬ (таких муниципальных образований не может быть больше числа муниципалитетов - участников бюджетных правоотношений в 2021 г.)")</f>
        <v>Выполнено</v>
      </c>
      <c r="O626" s="111" t="str">
        <f>IF(((D626-F626-G626=0)),"   ","Нужно заполнить пункт 58 текстовой части - самообложение и инициативное бюджетирование")</f>
        <v xml:space="preserve">   </v>
      </c>
      <c r="P626" s="71"/>
    </row>
    <row r="627" spans="2:16" s="24" customFormat="1">
      <c r="B627" s="143" t="s">
        <v>528</v>
      </c>
      <c r="C627" s="117" t="s">
        <v>1174</v>
      </c>
      <c r="D627" s="104">
        <f t="shared" si="186"/>
        <v>0</v>
      </c>
      <c r="E627" s="40"/>
      <c r="F627" s="40"/>
      <c r="G627" s="40"/>
      <c r="H627" s="40"/>
      <c r="I627" s="40"/>
      <c r="J627" s="40"/>
      <c r="K627" s="40"/>
      <c r="L627" s="40"/>
      <c r="M627" s="40"/>
      <c r="N627" s="35"/>
      <c r="O627" s="35"/>
      <c r="P627" s="71"/>
    </row>
    <row r="628" spans="2:16" s="24" customFormat="1" ht="75">
      <c r="B628" s="144" t="s">
        <v>937</v>
      </c>
      <c r="C628" s="145" t="s">
        <v>1176</v>
      </c>
      <c r="D628" s="104">
        <f t="shared" si="186"/>
        <v>0</v>
      </c>
      <c r="E628" s="38"/>
      <c r="F628" s="38"/>
      <c r="G628" s="38"/>
      <c r="H628" s="38"/>
      <c r="I628" s="38"/>
      <c r="J628" s="38"/>
      <c r="K628" s="38"/>
      <c r="L628" s="38"/>
      <c r="M628" s="38"/>
      <c r="N628" s="66" t="str">
        <f>IF((D628&lt;=D144)*AND(E628&lt;=E144)*AND(F628&lt;=F144)*AND(G628&lt;=G144)*AND(H628&lt;=H144)*AND(I628&lt;=I144)*AND(K628&lt;=K144)*AND(L628&lt;=L144)*AND(M628&lt;=M144)*AND(J628&lt;=J144),"Выполнено","ПРОВЕРИТЬ (таких муниципальных образований не может быть больше числа муниципалитетов - участников бюджетных правоотношений в 2021 г.)")</f>
        <v>Выполнено</v>
      </c>
      <c r="O628" s="111" t="str">
        <f>IF(((D628-F628-G628=0)),"   ","Нужно заполнить пункт 58 текстовой части - самообложение и инициативное бюджетирование")</f>
        <v xml:space="preserve">   </v>
      </c>
      <c r="P628" s="71"/>
    </row>
    <row r="629" spans="2:16" s="24" customFormat="1" ht="30">
      <c r="B629" s="143" t="s">
        <v>938</v>
      </c>
      <c r="C629" s="117" t="s">
        <v>1175</v>
      </c>
      <c r="D629" s="104">
        <f t="shared" si="186"/>
        <v>0</v>
      </c>
      <c r="E629" s="40"/>
      <c r="F629" s="40"/>
      <c r="G629" s="40"/>
      <c r="H629" s="40"/>
      <c r="I629" s="40"/>
      <c r="J629" s="40"/>
      <c r="K629" s="40"/>
      <c r="L629" s="40"/>
      <c r="M629" s="40"/>
      <c r="N629" s="35"/>
      <c r="O629" s="35"/>
      <c r="P629" s="71"/>
    </row>
    <row r="630" spans="2:16" s="24" customFormat="1" ht="30">
      <c r="B630" s="141" t="s">
        <v>939</v>
      </c>
      <c r="C630" s="142" t="s">
        <v>561</v>
      </c>
      <c r="D630" s="84"/>
      <c r="E630" s="85"/>
      <c r="F630" s="85"/>
      <c r="G630" s="85"/>
      <c r="H630" s="85"/>
      <c r="I630" s="85"/>
      <c r="J630" s="85"/>
      <c r="K630" s="85"/>
      <c r="L630" s="85"/>
      <c r="M630" s="85"/>
      <c r="N630" s="39"/>
      <c r="O630" s="30"/>
      <c r="P630" s="71"/>
    </row>
    <row r="631" spans="2:16" s="24" customFormat="1" ht="30">
      <c r="B631" s="143" t="s">
        <v>362</v>
      </c>
      <c r="C631" s="117" t="s">
        <v>1177</v>
      </c>
      <c r="D631" s="104">
        <f t="shared" ref="D631:D645" si="187">SUM(E631:I631)+SUM(K631:M631)</f>
        <v>0</v>
      </c>
      <c r="E631" s="41">
        <f t="shared" ref="E631:M631" si="188">SUM(E632:E636)</f>
        <v>0</v>
      </c>
      <c r="F631" s="41">
        <f t="shared" si="188"/>
        <v>0</v>
      </c>
      <c r="G631" s="41">
        <f t="shared" si="188"/>
        <v>0</v>
      </c>
      <c r="H631" s="41">
        <f t="shared" si="188"/>
        <v>0</v>
      </c>
      <c r="I631" s="41">
        <f t="shared" si="188"/>
        <v>0</v>
      </c>
      <c r="J631" s="41">
        <f>SUM(J632:J636)</f>
        <v>0</v>
      </c>
      <c r="K631" s="41">
        <f t="shared" si="188"/>
        <v>0</v>
      </c>
      <c r="L631" s="41">
        <f t="shared" si="188"/>
        <v>0</v>
      </c>
      <c r="M631" s="41">
        <f t="shared" si="188"/>
        <v>0</v>
      </c>
      <c r="N631" s="108"/>
      <c r="O631" s="108"/>
      <c r="P631" s="71"/>
    </row>
    <row r="632" spans="2:16" s="24" customFormat="1">
      <c r="B632" s="143" t="s">
        <v>363</v>
      </c>
      <c r="C632" s="117" t="s">
        <v>562</v>
      </c>
      <c r="D632" s="104">
        <f t="shared" si="187"/>
        <v>0</v>
      </c>
      <c r="E632" s="40"/>
      <c r="F632" s="40"/>
      <c r="G632" s="40"/>
      <c r="H632" s="40"/>
      <c r="I632" s="40"/>
      <c r="J632" s="40"/>
      <c r="K632" s="40"/>
      <c r="L632" s="40"/>
      <c r="M632" s="40"/>
      <c r="N632" s="108"/>
      <c r="O632" s="108"/>
      <c r="P632" s="71"/>
    </row>
    <row r="633" spans="2:16" s="24" customFormat="1">
      <c r="B633" s="143" t="s">
        <v>940</v>
      </c>
      <c r="C633" s="117" t="s">
        <v>563</v>
      </c>
      <c r="D633" s="104">
        <f t="shared" si="187"/>
        <v>0</v>
      </c>
      <c r="E633" s="40"/>
      <c r="F633" s="40"/>
      <c r="G633" s="40"/>
      <c r="H633" s="40"/>
      <c r="I633" s="40"/>
      <c r="J633" s="40"/>
      <c r="K633" s="40"/>
      <c r="L633" s="40"/>
      <c r="M633" s="40"/>
      <c r="N633" s="108"/>
      <c r="O633" s="108"/>
      <c r="P633" s="71"/>
    </row>
    <row r="634" spans="2:16" s="24" customFormat="1">
      <c r="B634" s="143" t="s">
        <v>941</v>
      </c>
      <c r="C634" s="117" t="s">
        <v>564</v>
      </c>
      <c r="D634" s="104">
        <f t="shared" si="187"/>
        <v>0</v>
      </c>
      <c r="E634" s="40"/>
      <c r="F634" s="40"/>
      <c r="G634" s="40"/>
      <c r="H634" s="40"/>
      <c r="I634" s="40"/>
      <c r="J634" s="40"/>
      <c r="K634" s="40"/>
      <c r="L634" s="40"/>
      <c r="M634" s="40"/>
      <c r="N634" s="108"/>
      <c r="O634" s="108"/>
      <c r="P634" s="71"/>
    </row>
    <row r="635" spans="2:16" s="24" customFormat="1" ht="45">
      <c r="B635" s="143" t="s">
        <v>942</v>
      </c>
      <c r="C635" s="117" t="s">
        <v>570</v>
      </c>
      <c r="D635" s="104">
        <f t="shared" si="187"/>
        <v>0</v>
      </c>
      <c r="E635" s="40"/>
      <c r="F635" s="40"/>
      <c r="G635" s="40"/>
      <c r="H635" s="40"/>
      <c r="I635" s="40"/>
      <c r="J635" s="40"/>
      <c r="K635" s="40"/>
      <c r="L635" s="40"/>
      <c r="M635" s="40"/>
      <c r="N635" s="108"/>
      <c r="O635" s="108"/>
      <c r="P635" s="71"/>
    </row>
    <row r="636" spans="2:16" ht="30">
      <c r="B636" s="143" t="s">
        <v>943</v>
      </c>
      <c r="C636" s="117" t="s">
        <v>1178</v>
      </c>
      <c r="D636" s="104">
        <f t="shared" si="187"/>
        <v>0</v>
      </c>
      <c r="E636" s="40"/>
      <c r="F636" s="40"/>
      <c r="G636" s="40"/>
      <c r="H636" s="40"/>
      <c r="I636" s="40"/>
      <c r="J636" s="40"/>
      <c r="K636" s="40"/>
      <c r="L636" s="40"/>
      <c r="M636" s="40"/>
      <c r="N636" s="108"/>
      <c r="O636" s="108"/>
      <c r="P636" s="77"/>
    </row>
    <row r="637" spans="2:16" ht="45">
      <c r="B637" s="143" t="s">
        <v>944</v>
      </c>
      <c r="C637" s="117" t="s">
        <v>1289</v>
      </c>
      <c r="D637" s="84"/>
      <c r="E637" s="85"/>
      <c r="F637" s="85"/>
      <c r="G637" s="85"/>
      <c r="H637" s="85"/>
      <c r="I637" s="85"/>
      <c r="J637" s="85"/>
      <c r="K637" s="85"/>
      <c r="L637" s="85"/>
      <c r="M637" s="85"/>
      <c r="N637" s="39"/>
      <c r="O637" s="106"/>
      <c r="P637" s="71"/>
    </row>
    <row r="638" spans="2:16" ht="30">
      <c r="B638" s="143" t="s">
        <v>945</v>
      </c>
      <c r="C638" s="117" t="s">
        <v>566</v>
      </c>
      <c r="D638" s="104">
        <f t="shared" si="187"/>
        <v>0</v>
      </c>
      <c r="E638" s="40"/>
      <c r="F638" s="40"/>
      <c r="G638" s="40"/>
      <c r="H638" s="40"/>
      <c r="I638" s="40"/>
      <c r="J638" s="40"/>
      <c r="K638" s="40"/>
      <c r="L638" s="40"/>
      <c r="M638" s="40"/>
      <c r="N638" s="66" t="str">
        <f>IF((D638&lt;=D632+D633+D634)*AND(E638&lt;=E632+E633+E634)*AND(F638&lt;=F632+F633+F634)*AND(G638&lt;=G632+G633+G634)*AND(H638&lt;=H632+H633+H634)*AND(I638&lt;=I632+I633+I634)*AND(K638&lt;=K632+K633+K634)*AND(L638&lt;=L632+L632+L634)*AND(M638&lt;=M632+M633+M634)*AND(J638&lt;=J632+J633+J634),"Выполнено","ПРОВЕРИТЬ - избранных составов не может быть больше чем проведенных выборов)")</f>
        <v>Выполнено</v>
      </c>
      <c r="O638" s="108"/>
      <c r="P638" s="77"/>
    </row>
    <row r="639" spans="2:16">
      <c r="B639" s="143" t="s">
        <v>946</v>
      </c>
      <c r="C639" s="117" t="s">
        <v>567</v>
      </c>
      <c r="D639" s="104">
        <f t="shared" si="187"/>
        <v>0</v>
      </c>
      <c r="E639" s="40"/>
      <c r="F639" s="40"/>
      <c r="G639" s="40"/>
      <c r="H639" s="40"/>
      <c r="I639" s="40"/>
      <c r="J639" s="40"/>
      <c r="K639" s="40"/>
      <c r="L639" s="40"/>
      <c r="M639" s="40"/>
      <c r="N639" s="108"/>
      <c r="O639" s="108"/>
      <c r="P639" s="77"/>
    </row>
    <row r="640" spans="2:16">
      <c r="B640" s="143" t="s">
        <v>947</v>
      </c>
      <c r="C640" s="117" t="s">
        <v>165</v>
      </c>
      <c r="D640" s="104">
        <f t="shared" si="187"/>
        <v>0</v>
      </c>
      <c r="E640" s="40"/>
      <c r="F640" s="40"/>
      <c r="G640" s="40"/>
      <c r="H640" s="40"/>
      <c r="I640" s="40"/>
      <c r="J640" s="40"/>
      <c r="K640" s="40"/>
      <c r="L640" s="40"/>
      <c r="M640" s="40"/>
      <c r="N640" s="66" t="str">
        <f>IF((D640&lt;=D636)*AND(E640&lt;=E636)*AND(F640&lt;=F636)*AND(G640&lt;=G636)*AND(H640&lt;=H636)*AND(I640&lt;=I636)*AND(K640&lt;=K636)*AND(L640&lt;=L636)*AND(M640&lt;=M636)*AND(J640&lt;=J636),"Выполнено","ПРОВЕРИТЬ - избранных глав не может быть больше чем проведенных выборов глав)")</f>
        <v>Выполнено</v>
      </c>
      <c r="O640" s="108"/>
      <c r="P640" s="71"/>
    </row>
    <row r="641" spans="2:16" ht="30">
      <c r="B641" s="143" t="s">
        <v>948</v>
      </c>
      <c r="C641" s="117" t="s">
        <v>1179</v>
      </c>
      <c r="D641" s="104">
        <f t="shared" si="187"/>
        <v>0</v>
      </c>
      <c r="E641" s="41">
        <f t="shared" ref="E641:M641" si="189">E642+E643</f>
        <v>0</v>
      </c>
      <c r="F641" s="41">
        <f t="shared" si="189"/>
        <v>0</v>
      </c>
      <c r="G641" s="41">
        <f t="shared" si="189"/>
        <v>0</v>
      </c>
      <c r="H641" s="41">
        <f t="shared" si="189"/>
        <v>0</v>
      </c>
      <c r="I641" s="41">
        <f t="shared" si="189"/>
        <v>0</v>
      </c>
      <c r="J641" s="41">
        <f>J642+J643</f>
        <v>0</v>
      </c>
      <c r="K641" s="41">
        <f t="shared" si="189"/>
        <v>0</v>
      </c>
      <c r="L641" s="41">
        <f t="shared" si="189"/>
        <v>0</v>
      </c>
      <c r="M641" s="41">
        <f t="shared" si="189"/>
        <v>0</v>
      </c>
      <c r="N641" s="35"/>
      <c r="O641" s="35"/>
      <c r="P641" s="77"/>
    </row>
    <row r="642" spans="2:16">
      <c r="B642" s="144" t="s">
        <v>949</v>
      </c>
      <c r="C642" s="145" t="s">
        <v>533</v>
      </c>
      <c r="D642" s="104">
        <f t="shared" si="187"/>
        <v>0</v>
      </c>
      <c r="E642" s="38"/>
      <c r="F642" s="38"/>
      <c r="G642" s="38"/>
      <c r="H642" s="38"/>
      <c r="I642" s="38"/>
      <c r="J642" s="38"/>
      <c r="K642" s="38"/>
      <c r="L642" s="38"/>
      <c r="M642" s="38"/>
      <c r="N642" s="35"/>
      <c r="O642" s="111" t="str">
        <f>IF(((D642-F642-G642=0)),"   ","Нужно заполнить пункт 59 текстовой части - о референдумах и голосованиях")</f>
        <v xml:space="preserve">   </v>
      </c>
      <c r="P642" s="77"/>
    </row>
    <row r="643" spans="2:16">
      <c r="B643" s="144" t="s">
        <v>950</v>
      </c>
      <c r="C643" s="145" t="s">
        <v>176</v>
      </c>
      <c r="D643" s="104">
        <f t="shared" si="187"/>
        <v>0</v>
      </c>
      <c r="E643" s="38"/>
      <c r="F643" s="38"/>
      <c r="G643" s="38"/>
      <c r="H643" s="38"/>
      <c r="I643" s="38"/>
      <c r="J643" s="38"/>
      <c r="K643" s="38"/>
      <c r="L643" s="38"/>
      <c r="M643" s="38"/>
      <c r="N643" s="35"/>
      <c r="O643" s="111" t="str">
        <f>IF(((D643=0)),"   ","Нужно заполнить пункт 59 текстовой части - о референдумах и голосованиях")</f>
        <v xml:space="preserve">   </v>
      </c>
      <c r="P643" s="77"/>
    </row>
    <row r="644" spans="2:16" ht="45">
      <c r="B644" s="144" t="s">
        <v>529</v>
      </c>
      <c r="C644" s="145" t="s">
        <v>1220</v>
      </c>
      <c r="D644" s="104">
        <f t="shared" si="187"/>
        <v>0</v>
      </c>
      <c r="E644" s="38"/>
      <c r="F644" s="38"/>
      <c r="G644" s="38"/>
      <c r="H644" s="38"/>
      <c r="I644" s="38"/>
      <c r="J644" s="38"/>
      <c r="K644" s="38"/>
      <c r="L644" s="38"/>
      <c r="M644" s="38"/>
      <c r="N644" s="35"/>
      <c r="O644" s="111" t="str">
        <f>IF(((D644=0)),"   ","Нужно заполнить пункт 59 текстовой части - о референдумах и голосованиях")</f>
        <v xml:space="preserve">   </v>
      </c>
      <c r="P644" s="71"/>
    </row>
    <row r="645" spans="2:16" s="24" customFormat="1" ht="30">
      <c r="B645" s="144" t="s">
        <v>951</v>
      </c>
      <c r="C645" s="145" t="s">
        <v>1222</v>
      </c>
      <c r="D645" s="104">
        <f t="shared" si="187"/>
        <v>0</v>
      </c>
      <c r="E645" s="38"/>
      <c r="F645" s="38"/>
      <c r="G645" s="38"/>
      <c r="H645" s="38"/>
      <c r="I645" s="38"/>
      <c r="J645" s="38"/>
      <c r="K645" s="38"/>
      <c r="L645" s="38"/>
      <c r="M645" s="38"/>
      <c r="N645" s="35"/>
      <c r="O645" s="111" t="str">
        <f>IF(((D645=0)),"   ","Нужно заполнить пункт 59 текстовой части - о референдумах и голосованиях")</f>
        <v xml:space="preserve">   </v>
      </c>
      <c r="P645" s="71"/>
    </row>
    <row r="646" spans="2:16" s="24" customFormat="1">
      <c r="B646" s="151" t="s">
        <v>530</v>
      </c>
      <c r="C646" s="142" t="s">
        <v>365</v>
      </c>
      <c r="D646" s="84"/>
      <c r="E646" s="85"/>
      <c r="F646" s="85"/>
      <c r="G646" s="85"/>
      <c r="H646" s="85"/>
      <c r="I646" s="85"/>
      <c r="J646" s="85"/>
      <c r="K646" s="85"/>
      <c r="L646" s="85"/>
      <c r="M646" s="85"/>
      <c r="N646" s="39"/>
      <c r="O646" s="30"/>
      <c r="P646" s="71"/>
    </row>
    <row r="647" spans="2:16" s="24" customFormat="1" ht="45">
      <c r="B647" s="143" t="s">
        <v>531</v>
      </c>
      <c r="C647" s="117" t="s">
        <v>239</v>
      </c>
      <c r="D647" s="104">
        <f t="shared" ref="D647:D650" si="190">F647+G647</f>
        <v>0</v>
      </c>
      <c r="E647" s="52"/>
      <c r="F647" s="41">
        <f>F268</f>
        <v>0</v>
      </c>
      <c r="G647" s="41">
        <f>G268</f>
        <v>0</v>
      </c>
      <c r="H647" s="49"/>
      <c r="I647" s="49"/>
      <c r="J647" s="51"/>
      <c r="K647" s="50"/>
      <c r="L647" s="50"/>
      <c r="M647" s="50"/>
      <c r="N647" s="35"/>
      <c r="O647" s="35"/>
      <c r="P647" s="71"/>
    </row>
    <row r="648" spans="2:16" ht="30">
      <c r="B648" s="143" t="s">
        <v>952</v>
      </c>
      <c r="C648" s="117" t="s">
        <v>40</v>
      </c>
      <c r="D648" s="104">
        <f t="shared" si="190"/>
        <v>0</v>
      </c>
      <c r="E648" s="53"/>
      <c r="F648" s="41">
        <f>F352</f>
        <v>0</v>
      </c>
      <c r="G648" s="41">
        <f>G352</f>
        <v>0</v>
      </c>
      <c r="H648" s="46"/>
      <c r="I648" s="46"/>
      <c r="J648" s="48"/>
      <c r="K648" s="47"/>
      <c r="L648" s="47"/>
      <c r="M648" s="47"/>
      <c r="N648" s="35"/>
      <c r="O648" s="35"/>
      <c r="P648" s="71"/>
    </row>
    <row r="649" spans="2:16" s="24" customFormat="1" ht="30">
      <c r="B649" s="146" t="s">
        <v>953</v>
      </c>
      <c r="C649" s="117" t="s">
        <v>1181</v>
      </c>
      <c r="D649" s="104">
        <f t="shared" ref="D649" si="191">SUM(E649:I649)+SUM(K649:M649)</f>
        <v>2</v>
      </c>
      <c r="E649" s="41">
        <f t="shared" ref="E649:M649" si="192">SUM(E650:E657)</f>
        <v>0</v>
      </c>
      <c r="F649" s="41">
        <f t="shared" si="192"/>
        <v>0</v>
      </c>
      <c r="G649" s="41">
        <f t="shared" si="192"/>
        <v>2</v>
      </c>
      <c r="H649" s="41">
        <f t="shared" si="192"/>
        <v>0</v>
      </c>
      <c r="I649" s="41">
        <f t="shared" si="192"/>
        <v>0</v>
      </c>
      <c r="J649" s="41">
        <f>SUM(J650:J657)</f>
        <v>0</v>
      </c>
      <c r="K649" s="41">
        <f t="shared" si="192"/>
        <v>0</v>
      </c>
      <c r="L649" s="41">
        <f t="shared" si="192"/>
        <v>0</v>
      </c>
      <c r="M649" s="41">
        <f t="shared" si="192"/>
        <v>0</v>
      </c>
      <c r="N649" s="35"/>
      <c r="O649" s="35"/>
      <c r="P649" s="71"/>
    </row>
    <row r="650" spans="2:16" s="24" customFormat="1" ht="30">
      <c r="B650" s="146" t="s">
        <v>954</v>
      </c>
      <c r="C650" s="117" t="s">
        <v>177</v>
      </c>
      <c r="D650" s="104">
        <f t="shared" si="190"/>
        <v>0</v>
      </c>
      <c r="E650" s="41"/>
      <c r="F650" s="40"/>
      <c r="G650" s="40"/>
      <c r="H650" s="57"/>
      <c r="I650" s="57"/>
      <c r="J650" s="58"/>
      <c r="K650" s="39"/>
      <c r="L650" s="39"/>
      <c r="M650" s="39"/>
      <c r="N650" s="35"/>
      <c r="O650" s="108"/>
      <c r="P650" s="71"/>
    </row>
    <row r="651" spans="2:16" s="24" customFormat="1" ht="30">
      <c r="B651" s="146" t="s">
        <v>955</v>
      </c>
      <c r="C651" s="117" t="s">
        <v>178</v>
      </c>
      <c r="D651" s="104">
        <f t="shared" ref="D651:D677" si="193">SUM(E651:I651)+SUM(K651:M651)</f>
        <v>0</v>
      </c>
      <c r="E651" s="40"/>
      <c r="F651" s="40"/>
      <c r="G651" s="40"/>
      <c r="H651" s="40"/>
      <c r="I651" s="40"/>
      <c r="J651" s="40"/>
      <c r="K651" s="40"/>
      <c r="L651" s="40"/>
      <c r="M651" s="40"/>
      <c r="N651" s="35"/>
      <c r="O651" s="35"/>
      <c r="P651" s="71"/>
    </row>
    <row r="652" spans="2:16" s="105" customFormat="1" ht="30">
      <c r="B652" s="146" t="s">
        <v>956</v>
      </c>
      <c r="C652" s="117" t="s">
        <v>1233</v>
      </c>
      <c r="D652" s="104">
        <f t="shared" si="193"/>
        <v>0</v>
      </c>
      <c r="E652" s="40"/>
      <c r="F652" s="40"/>
      <c r="G652" s="40"/>
      <c r="H652" s="40"/>
      <c r="I652" s="40"/>
      <c r="J652" s="40"/>
      <c r="K652" s="40"/>
      <c r="L652" s="40"/>
      <c r="M652" s="40"/>
      <c r="N652" s="108"/>
      <c r="O652" s="108"/>
      <c r="P652" s="71"/>
    </row>
    <row r="653" spans="2:16" s="24" customFormat="1">
      <c r="B653" s="146" t="s">
        <v>1231</v>
      </c>
      <c r="C653" s="117" t="s">
        <v>364</v>
      </c>
      <c r="D653" s="104">
        <f t="shared" si="193"/>
        <v>0</v>
      </c>
      <c r="E653" s="40"/>
      <c r="F653" s="40"/>
      <c r="G653" s="40"/>
      <c r="H653" s="40"/>
      <c r="I653" s="40"/>
      <c r="J653" s="40"/>
      <c r="K653" s="40"/>
      <c r="L653" s="40"/>
      <c r="M653" s="40"/>
      <c r="N653" s="35"/>
      <c r="O653" s="35"/>
      <c r="P653" s="71"/>
    </row>
    <row r="654" spans="2:16" s="105" customFormat="1" ht="30">
      <c r="B654" s="146" t="s">
        <v>957</v>
      </c>
      <c r="C654" s="117" t="s">
        <v>1232</v>
      </c>
      <c r="D654" s="104">
        <f t="shared" si="193"/>
        <v>0</v>
      </c>
      <c r="E654" s="40"/>
      <c r="F654" s="40"/>
      <c r="G654" s="40"/>
      <c r="H654" s="40"/>
      <c r="I654" s="40"/>
      <c r="J654" s="40"/>
      <c r="K654" s="40"/>
      <c r="L654" s="40"/>
      <c r="M654" s="40"/>
      <c r="N654" s="108"/>
      <c r="O654" s="108"/>
      <c r="P654" s="71"/>
    </row>
    <row r="655" spans="2:16" s="24" customFormat="1" ht="30">
      <c r="B655" s="146" t="s">
        <v>1234</v>
      </c>
      <c r="C655" s="117" t="s">
        <v>1229</v>
      </c>
      <c r="D655" s="104">
        <f t="shared" si="193"/>
        <v>0</v>
      </c>
      <c r="E655" s="40"/>
      <c r="F655" s="40"/>
      <c r="G655" s="40"/>
      <c r="H655" s="40"/>
      <c r="I655" s="40"/>
      <c r="J655" s="40"/>
      <c r="K655" s="40"/>
      <c r="L655" s="40"/>
      <c r="M655" s="40"/>
      <c r="N655" s="35"/>
      <c r="O655" s="35"/>
      <c r="P655" s="71"/>
    </row>
    <row r="656" spans="2:16" s="105" customFormat="1" ht="30">
      <c r="B656" s="146" t="s">
        <v>1230</v>
      </c>
      <c r="C656" s="117" t="s">
        <v>1236</v>
      </c>
      <c r="D656" s="104">
        <f t="shared" si="193"/>
        <v>0</v>
      </c>
      <c r="E656" s="40"/>
      <c r="F656" s="40"/>
      <c r="G656" s="40"/>
      <c r="H656" s="40"/>
      <c r="I656" s="40"/>
      <c r="J656" s="40"/>
      <c r="K656" s="40"/>
      <c r="L656" s="40"/>
      <c r="M656" s="40"/>
      <c r="N656" s="108"/>
      <c r="O656" s="108"/>
      <c r="P656" s="71"/>
    </row>
    <row r="657" spans="2:16" s="24" customFormat="1" ht="45">
      <c r="B657" s="146" t="s">
        <v>1235</v>
      </c>
      <c r="C657" s="117" t="s">
        <v>1290</v>
      </c>
      <c r="D657" s="104">
        <f t="shared" si="193"/>
        <v>2</v>
      </c>
      <c r="E657" s="40"/>
      <c r="F657" s="40"/>
      <c r="G657" s="40">
        <v>2</v>
      </c>
      <c r="H657" s="40"/>
      <c r="I657" s="40"/>
      <c r="J657" s="40"/>
      <c r="K657" s="40"/>
      <c r="L657" s="40"/>
      <c r="M657" s="40"/>
      <c r="N657" s="35"/>
      <c r="O657" s="111" t="str">
        <f>IF(((D657=0)),"   ","Подсказка - имеются в виду случаи, когда организаторы именуют сходами мероприятия по вопросам, выходящим за предмет ст.25 и ст.25.1 Федерального закона № 131-ФЗ, как правило в таких случаях следовало проводить собрания")</f>
        <v>Подсказка - имеются в виду случаи, когда организаторы именуют сходами мероприятия по вопросам, выходящим за предмет ст.25 и ст.25.1 Федерального закона № 131-ФЗ, как правило в таких случаях следовало проводить собрания</v>
      </c>
      <c r="P657" s="71"/>
    </row>
    <row r="658" spans="2:16" s="24" customFormat="1" ht="30">
      <c r="B658" s="146" t="s">
        <v>1237</v>
      </c>
      <c r="C658" s="117" t="s">
        <v>1180</v>
      </c>
      <c r="D658" s="104">
        <f t="shared" si="193"/>
        <v>0</v>
      </c>
      <c r="E658" s="40"/>
      <c r="F658" s="40"/>
      <c r="G658" s="40"/>
      <c r="H658" s="40"/>
      <c r="I658" s="40"/>
      <c r="J658" s="40"/>
      <c r="K658" s="40"/>
      <c r="L658" s="40"/>
      <c r="M658" s="40"/>
      <c r="N658" s="66" t="str">
        <f>IF((D658&lt;=D649)*AND(E658&lt;=E649)*AND(F658&lt;=F649)*AND(G658&lt;=G649)*AND(H658&lt;=H649)*AND(I658&lt;=I649)*AND(K658&lt;=K649)*AND(L658&lt;=L649)*AND(M658&lt;=M649)*AND(J658&lt;=J649),"Выполнено","ПРОВЕРИТЬ (таких сходов не может быть больше чем сходов всего)
)")</f>
        <v>Выполнено</v>
      </c>
      <c r="O658" s="108"/>
      <c r="P658" s="71"/>
    </row>
    <row r="659" spans="2:16" ht="30">
      <c r="B659" s="151" t="s">
        <v>958</v>
      </c>
      <c r="C659" s="142" t="s">
        <v>366</v>
      </c>
      <c r="D659" s="84"/>
      <c r="E659" s="85"/>
      <c r="F659" s="85"/>
      <c r="G659" s="85"/>
      <c r="H659" s="85"/>
      <c r="I659" s="85"/>
      <c r="J659" s="85"/>
      <c r="K659" s="85"/>
      <c r="L659" s="85"/>
      <c r="M659" s="85"/>
      <c r="N659" s="39"/>
      <c r="O659" s="30"/>
      <c r="P659" s="77"/>
    </row>
    <row r="660" spans="2:16" ht="45">
      <c r="B660" s="146" t="s">
        <v>532</v>
      </c>
      <c r="C660" s="117" t="s">
        <v>1182</v>
      </c>
      <c r="D660" s="104">
        <f t="shared" si="193"/>
        <v>0</v>
      </c>
      <c r="E660" s="40"/>
      <c r="F660" s="40"/>
      <c r="G660" s="40"/>
      <c r="H660" s="40"/>
      <c r="I660" s="40"/>
      <c r="J660" s="40"/>
      <c r="K660" s="40"/>
      <c r="L660" s="40"/>
      <c r="M660" s="40"/>
      <c r="N660" s="34"/>
      <c r="O660" s="34"/>
      <c r="P660" s="71"/>
    </row>
    <row r="661" spans="2:16" ht="30">
      <c r="B661" s="146" t="s">
        <v>565</v>
      </c>
      <c r="C661" s="117" t="s">
        <v>1183</v>
      </c>
      <c r="D661" s="104">
        <f t="shared" si="193"/>
        <v>0</v>
      </c>
      <c r="E661" s="40"/>
      <c r="F661" s="40"/>
      <c r="G661" s="40"/>
      <c r="H661" s="40"/>
      <c r="I661" s="40"/>
      <c r="J661" s="40"/>
      <c r="K661" s="40"/>
      <c r="L661" s="40"/>
      <c r="M661" s="40"/>
      <c r="N661" s="34"/>
      <c r="O661" s="34"/>
      <c r="P661" s="77"/>
    </row>
    <row r="662" spans="2:16">
      <c r="B662" s="146" t="s">
        <v>568</v>
      </c>
      <c r="C662" s="117" t="s">
        <v>1184</v>
      </c>
      <c r="D662" s="104">
        <f t="shared" si="193"/>
        <v>2</v>
      </c>
      <c r="E662" s="40"/>
      <c r="F662" s="40"/>
      <c r="G662" s="40">
        <v>2</v>
      </c>
      <c r="H662" s="40"/>
      <c r="I662" s="40"/>
      <c r="J662" s="40"/>
      <c r="K662" s="40"/>
      <c r="L662" s="40"/>
      <c r="M662" s="40"/>
      <c r="N662" s="34"/>
      <c r="O662" s="34"/>
      <c r="P662" s="77"/>
    </row>
    <row r="663" spans="2:16">
      <c r="B663" s="146" t="s">
        <v>569</v>
      </c>
      <c r="C663" s="117" t="s">
        <v>1185</v>
      </c>
      <c r="D663" s="104">
        <f t="shared" si="193"/>
        <v>0</v>
      </c>
      <c r="E663" s="40"/>
      <c r="F663" s="40"/>
      <c r="G663" s="40"/>
      <c r="H663" s="40"/>
      <c r="I663" s="40"/>
      <c r="J663" s="40"/>
      <c r="K663" s="40"/>
      <c r="L663" s="40"/>
      <c r="M663" s="40"/>
      <c r="N663" s="34"/>
      <c r="O663" s="34"/>
      <c r="P663" s="71"/>
    </row>
    <row r="664" spans="2:16" ht="45">
      <c r="B664" s="144" t="s">
        <v>959</v>
      </c>
      <c r="C664" s="145" t="s">
        <v>1186</v>
      </c>
      <c r="D664" s="104">
        <f t="shared" si="193"/>
        <v>0</v>
      </c>
      <c r="E664" s="38"/>
      <c r="F664" s="38"/>
      <c r="G664" s="38"/>
      <c r="H664" s="38"/>
      <c r="I664" s="38"/>
      <c r="J664" s="38"/>
      <c r="K664" s="38"/>
      <c r="L664" s="38"/>
      <c r="M664" s="38"/>
      <c r="N664" s="34"/>
      <c r="O664" s="111" t="str">
        <f>IF(((D664=0)),"   ","Нужно заполнить пункт 60 текстовой части - о проведенных опросах граждан")</f>
        <v xml:space="preserve">   </v>
      </c>
      <c r="P664" s="77"/>
    </row>
    <row r="665" spans="2:16">
      <c r="B665" s="151" t="s">
        <v>24</v>
      </c>
      <c r="C665" s="142" t="s">
        <v>29</v>
      </c>
      <c r="D665" s="84"/>
      <c r="E665" s="85"/>
      <c r="F665" s="85"/>
      <c r="G665" s="85"/>
      <c r="H665" s="85"/>
      <c r="I665" s="85"/>
      <c r="J665" s="85"/>
      <c r="K665" s="85"/>
      <c r="L665" s="85"/>
      <c r="M665" s="85"/>
      <c r="N665" s="39"/>
      <c r="O665" s="30"/>
      <c r="P665" s="77"/>
    </row>
    <row r="666" spans="2:16">
      <c r="B666" s="146" t="s">
        <v>960</v>
      </c>
      <c r="C666" s="117" t="s">
        <v>1187</v>
      </c>
      <c r="D666" s="104">
        <f t="shared" si="193"/>
        <v>0</v>
      </c>
      <c r="E666" s="42"/>
      <c r="F666" s="42"/>
      <c r="G666" s="42"/>
      <c r="H666" s="42"/>
      <c r="I666" s="42"/>
      <c r="J666" s="40"/>
      <c r="K666" s="42"/>
      <c r="L666" s="42"/>
      <c r="M666" s="42"/>
      <c r="N666" s="35"/>
      <c r="O666" s="35"/>
      <c r="P666" s="77"/>
    </row>
    <row r="667" spans="2:16">
      <c r="B667" s="144" t="s">
        <v>240</v>
      </c>
      <c r="C667" s="145" t="s">
        <v>1188</v>
      </c>
      <c r="D667" s="104">
        <f t="shared" si="193"/>
        <v>0</v>
      </c>
      <c r="E667" s="38"/>
      <c r="F667" s="38"/>
      <c r="G667" s="38"/>
      <c r="H667" s="38"/>
      <c r="I667" s="38"/>
      <c r="J667" s="38"/>
      <c r="K667" s="38"/>
      <c r="L667" s="38"/>
      <c r="M667" s="38"/>
      <c r="N667" s="35"/>
      <c r="O667" s="111" t="str">
        <f>IF(((D667=0)),"   ","Нужно заполнить пункт 61 текстовой части - о рассмотренных и реализованных гражданских правотворческих инициативах")</f>
        <v xml:space="preserve">   </v>
      </c>
      <c r="P667" s="71"/>
    </row>
    <row r="668" spans="2:16" s="24" customFormat="1" ht="30">
      <c r="B668" s="144" t="s">
        <v>961</v>
      </c>
      <c r="C668" s="145" t="s">
        <v>1189</v>
      </c>
      <c r="D668" s="104">
        <f t="shared" si="193"/>
        <v>0</v>
      </c>
      <c r="E668" s="38"/>
      <c r="F668" s="38"/>
      <c r="G668" s="38"/>
      <c r="H668" s="38"/>
      <c r="I668" s="38"/>
      <c r="J668" s="38"/>
      <c r="K668" s="38"/>
      <c r="L668" s="38"/>
      <c r="M668" s="38"/>
      <c r="N668" s="108"/>
      <c r="O668" s="111" t="str">
        <f>IF(((D668=0)),"   ","Нужно заполнить пункт 61 текстовой части - о рассмотренных и реализованных гражданских правотворческих инициативах")</f>
        <v xml:space="preserve">   </v>
      </c>
      <c r="P668" s="71"/>
    </row>
    <row r="669" spans="2:16" s="24" customFormat="1" ht="30">
      <c r="B669" s="151" t="s">
        <v>189</v>
      </c>
      <c r="C669" s="142" t="s">
        <v>311</v>
      </c>
      <c r="D669" s="84"/>
      <c r="E669" s="85"/>
      <c r="F669" s="85"/>
      <c r="G669" s="85"/>
      <c r="H669" s="85"/>
      <c r="I669" s="85"/>
      <c r="J669" s="85"/>
      <c r="K669" s="85"/>
      <c r="L669" s="85"/>
      <c r="M669" s="85"/>
      <c r="N669" s="39"/>
      <c r="O669" s="30"/>
      <c r="P669" s="71"/>
    </row>
    <row r="670" spans="2:16" s="24" customFormat="1" ht="75">
      <c r="B670" s="146" t="s">
        <v>188</v>
      </c>
      <c r="C670" s="117" t="s">
        <v>1210</v>
      </c>
      <c r="D670" s="104">
        <f t="shared" si="193"/>
        <v>0</v>
      </c>
      <c r="E670" s="42"/>
      <c r="F670" s="42"/>
      <c r="G670" s="42"/>
      <c r="H670" s="42"/>
      <c r="I670" s="42"/>
      <c r="J670" s="40"/>
      <c r="K670" s="42"/>
      <c r="L670" s="42"/>
      <c r="M670" s="42"/>
      <c r="N670" s="66" t="str">
        <f>IF((D670&lt;=D$10)*AND(E670&lt;=E$10)*AND(F670&lt;=F$10)*AND(G670&lt;=G$10)*AND(H670&lt;=H$10)*AND(I670&lt;=I$10)*AND(K670&lt;=K$10)*AND(L670&lt;=L$10)*AND(M670&lt;=M$10)*AND(J670&lt;=J$10),"Выполнено","ПРОВЕРИТЬ (таких муниципальных образований не может быть больше их общего числа)")</f>
        <v>Выполнено</v>
      </c>
      <c r="O670" s="107"/>
      <c r="P670" s="71"/>
    </row>
    <row r="671" spans="2:16" ht="30">
      <c r="B671" s="146" t="s">
        <v>190</v>
      </c>
      <c r="C671" s="117" t="s">
        <v>556</v>
      </c>
      <c r="D671" s="104">
        <f t="shared" si="193"/>
        <v>0</v>
      </c>
      <c r="E671" s="42"/>
      <c r="F671" s="42"/>
      <c r="G671" s="42"/>
      <c r="H671" s="42"/>
      <c r="I671" s="42"/>
      <c r="J671" s="40"/>
      <c r="K671" s="42"/>
      <c r="L671" s="42"/>
      <c r="M671" s="42"/>
      <c r="N671" s="33"/>
      <c r="O671" s="33"/>
      <c r="P671" s="71"/>
    </row>
    <row r="672" spans="2:16" s="24" customFormat="1" ht="30">
      <c r="B672" s="146" t="s">
        <v>191</v>
      </c>
      <c r="C672" s="117" t="s">
        <v>555</v>
      </c>
      <c r="D672" s="104">
        <f t="shared" si="193"/>
        <v>0</v>
      </c>
      <c r="E672" s="42"/>
      <c r="F672" s="42"/>
      <c r="G672" s="42"/>
      <c r="H672" s="42"/>
      <c r="I672" s="42"/>
      <c r="J672" s="40"/>
      <c r="K672" s="42"/>
      <c r="L672" s="42"/>
      <c r="M672" s="42"/>
      <c r="N672" s="107"/>
      <c r="O672" s="107"/>
      <c r="P672" s="71"/>
    </row>
    <row r="673" spans="2:16" s="24" customFormat="1" ht="60">
      <c r="B673" s="146" t="s">
        <v>367</v>
      </c>
      <c r="C673" s="117" t="s">
        <v>371</v>
      </c>
      <c r="D673" s="104">
        <f t="shared" si="193"/>
        <v>0</v>
      </c>
      <c r="E673" s="42"/>
      <c r="F673" s="42"/>
      <c r="G673" s="42"/>
      <c r="H673" s="42"/>
      <c r="I673" s="42"/>
      <c r="J673" s="40"/>
      <c r="K673" s="42"/>
      <c r="L673" s="42"/>
      <c r="M673" s="42"/>
      <c r="N673" s="66" t="str">
        <f>IF((D673&gt;=D672)*AND(E673&gt;=E672)*AND(F673&gt;=F672)*AND(G673&gt;=G672)*AND(H673&gt;=H672)*AND(I673&gt;=I672)*AND(K673&gt;=K672)*AND(L673&gt;=L672)*AND(M673&gt;=M672)*AND(J673&gt;=J672),"Выполнено","ПРОВЕРИТЬ (количество членов общественных палат и советов, как правило, в разы больше количества самих общественных палат и советов)")</f>
        <v>Выполнено</v>
      </c>
      <c r="O673" s="107"/>
      <c r="P673" s="71"/>
    </row>
    <row r="674" spans="2:16" s="24" customFormat="1">
      <c r="B674" s="151" t="s">
        <v>26</v>
      </c>
      <c r="C674" s="142" t="s">
        <v>8</v>
      </c>
      <c r="D674" s="84"/>
      <c r="E674" s="85"/>
      <c r="F674" s="85"/>
      <c r="G674" s="85"/>
      <c r="H674" s="85"/>
      <c r="I674" s="85"/>
      <c r="J674" s="85"/>
      <c r="K674" s="85"/>
      <c r="L674" s="85"/>
      <c r="M674" s="85"/>
      <c r="N674" s="39"/>
      <c r="O674" s="30"/>
      <c r="P674" s="71"/>
    </row>
    <row r="675" spans="2:16" s="24" customFormat="1" ht="60">
      <c r="B675" s="146" t="s">
        <v>962</v>
      </c>
      <c r="C675" s="117" t="s">
        <v>1211</v>
      </c>
      <c r="D675" s="104">
        <f t="shared" si="193"/>
        <v>0</v>
      </c>
      <c r="E675" s="63"/>
      <c r="F675" s="63"/>
      <c r="G675" s="63"/>
      <c r="H675" s="63"/>
      <c r="I675" s="63"/>
      <c r="J675" s="63"/>
      <c r="K675" s="63"/>
      <c r="L675" s="63"/>
      <c r="M675" s="63"/>
      <c r="N675" s="66" t="str">
        <f>IF((D675&lt;=D$10)*AND(E675&lt;=E$10)*AND(F675&lt;=F$10)*AND(G675&lt;=G$10)*AND(H675&lt;=H$10)*AND(I675&lt;=I$10)*AND(K675&lt;=K$10)*AND(L675&lt;=L$10)*AND(M675&lt;=M$10)*AND(J675&lt;=J$10),"Выполнено","ПРОВЕРИТЬ (таких муниципальных образований не может быть больше их общего числа)")</f>
        <v>Выполнено</v>
      </c>
      <c r="O675" s="111" t="str">
        <f>IF((E675&gt;=((F675+G675)/3000))*AND(K675&gt;=(L675/100)),"   ","Подсказка - если есть поселения с ТОСами, значит есть и районы с ТОСами, то же верно и для гор.округов с делением")</f>
        <v xml:space="preserve">   </v>
      </c>
      <c r="P675" s="71"/>
    </row>
    <row r="676" spans="2:16" s="24" customFormat="1" ht="60">
      <c r="B676" s="146" t="s">
        <v>963</v>
      </c>
      <c r="C676" s="117" t="s">
        <v>373</v>
      </c>
      <c r="D676" s="104">
        <f t="shared" si="193"/>
        <v>0</v>
      </c>
      <c r="E676" s="63"/>
      <c r="F676" s="63"/>
      <c r="G676" s="63"/>
      <c r="H676" s="63"/>
      <c r="I676" s="63"/>
      <c r="J676" s="63"/>
      <c r="K676" s="63"/>
      <c r="L676" s="63"/>
      <c r="M676" s="63"/>
      <c r="N676" s="106"/>
      <c r="O676" s="111" t="str">
        <f>IF(((D676&lt;=D675)*AND(E676&lt;=E675)*AND(F676&lt;=F675)*AND(G676&lt;=G675)*AND(H676&lt;=H675)*AND(I676&lt;=I675)*AND(K676&lt;=K675)*AND(L676&lt;=L675)*AND(M676&lt;=M675)*AND(J676&lt;=J675)),"   ","Подсказка - ТОСов со статусом юридических лиц обычно меньше чем всех ТОСов")</f>
        <v xml:space="preserve">   </v>
      </c>
      <c r="P676" s="71"/>
    </row>
    <row r="677" spans="2:16" s="24" customFormat="1" ht="45">
      <c r="B677" s="144" t="s">
        <v>369</v>
      </c>
      <c r="C677" s="145" t="s">
        <v>1190</v>
      </c>
      <c r="D677" s="104">
        <f t="shared" si="193"/>
        <v>0</v>
      </c>
      <c r="E677" s="38"/>
      <c r="F677" s="38"/>
      <c r="G677" s="38"/>
      <c r="H677" s="38"/>
      <c r="I677" s="38"/>
      <c r="J677" s="38"/>
      <c r="K677" s="38"/>
      <c r="L677" s="38"/>
      <c r="M677" s="38"/>
      <c r="N677" s="66" t="str">
        <f>IF((D677&lt;=D144)*AND(E677&lt;=E144)*AND(F677&lt;=F144)*AND(G677&lt;=G144)*AND(H677&lt;=H144)*AND(I677&lt;=I144)*AND(K677&lt;=K144)*AND(L677&lt;=L144)*AND(M677&lt;=M144)*AND(J677&lt;=J144),"Выполнено","ПРОВЕРИТЬ (таких муниципальных образований не может быть больше  числа муниципальных образований - участников бюджетного процесса)")</f>
        <v>Выполнено</v>
      </c>
      <c r="O677" s="111" t="str">
        <f>IF(((D677=0)),"   ","Нужно заполнить пункт 62 текстовой части - о ТОСах, использующих бюджетные средства по соглашениям с муниципалитетами")</f>
        <v xml:space="preserve">   </v>
      </c>
      <c r="P677" s="71"/>
    </row>
    <row r="678" spans="2:16" s="24" customFormat="1" ht="45">
      <c r="B678" s="146" t="s">
        <v>370</v>
      </c>
      <c r="C678" s="117" t="s">
        <v>1212</v>
      </c>
      <c r="D678" s="104">
        <f>SUM(D679:D681)</f>
        <v>0</v>
      </c>
      <c r="E678" s="39"/>
      <c r="F678" s="39"/>
      <c r="G678" s="39"/>
      <c r="H678" s="39"/>
      <c r="I678" s="39"/>
      <c r="J678" s="39"/>
      <c r="K678" s="39"/>
      <c r="L678" s="39"/>
      <c r="M678" s="39"/>
      <c r="N678" s="33"/>
      <c r="O678" s="106"/>
      <c r="P678" s="71"/>
    </row>
    <row r="679" spans="2:16" ht="30">
      <c r="B679" s="146" t="s">
        <v>964</v>
      </c>
      <c r="C679" s="165" t="s">
        <v>608</v>
      </c>
      <c r="D679" s="104">
        <f>SUM(F679:I679)</f>
        <v>0</v>
      </c>
      <c r="E679" s="61"/>
      <c r="F679" s="40"/>
      <c r="G679" s="40"/>
      <c r="H679" s="40"/>
      <c r="I679" s="40"/>
      <c r="J679" s="40"/>
      <c r="K679" s="39"/>
      <c r="L679" s="39"/>
      <c r="M679" s="39"/>
      <c r="N679" s="66" t="str">
        <f>IF((F679&gt;=F675)*AND(G679&gt;=G675)*AND(H679&gt;=H675)*AND(I679&gt;=I675),"Выполнено","ПРОВЕРИТЬ (ТОСов в муниципальных образованиях не может быть меньше чем муниципальных образований соответствующего вида с ТОСами)")</f>
        <v>Выполнено</v>
      </c>
      <c r="O679" s="106"/>
      <c r="P679" s="77"/>
    </row>
    <row r="680" spans="2:16">
      <c r="B680" s="146" t="s">
        <v>965</v>
      </c>
      <c r="C680" s="117" t="s">
        <v>609</v>
      </c>
      <c r="D680" s="104">
        <f>E680</f>
        <v>0</v>
      </c>
      <c r="E680" s="40"/>
      <c r="F680" s="39"/>
      <c r="G680" s="39"/>
      <c r="H680" s="39"/>
      <c r="I680" s="39"/>
      <c r="J680" s="44"/>
      <c r="K680" s="39"/>
      <c r="L680" s="39"/>
      <c r="M680" s="39"/>
      <c r="N680" s="107"/>
      <c r="O680" s="106"/>
      <c r="P680" s="71"/>
    </row>
    <row r="681" spans="2:16" ht="45">
      <c r="B681" s="146" t="s">
        <v>966</v>
      </c>
      <c r="C681" s="117" t="s">
        <v>613</v>
      </c>
      <c r="D681" s="104">
        <f>L681+M681</f>
        <v>0</v>
      </c>
      <c r="E681" s="39"/>
      <c r="F681" s="39"/>
      <c r="G681" s="39"/>
      <c r="H681" s="39"/>
      <c r="I681" s="39"/>
      <c r="J681" s="39"/>
      <c r="K681" s="39"/>
      <c r="L681" s="42"/>
      <c r="M681" s="42"/>
      <c r="N681" s="66" t="str">
        <f>IF((L681&gt;=L675)*AND(M681&gt;=M675),"Выполнено","ПРОВЕРИТЬ (ТОСов в муниципальных образованиях не может быть меньше чем муниципальных образований соответствующего вида с ТОСами)")</f>
        <v>Выполнено</v>
      </c>
      <c r="O681" s="106"/>
      <c r="P681" s="77"/>
    </row>
    <row r="682" spans="2:16" ht="30">
      <c r="B682" s="146" t="s">
        <v>967</v>
      </c>
      <c r="C682" s="117" t="s">
        <v>374</v>
      </c>
      <c r="D682" s="104">
        <f>SUM(D683:D685)</f>
        <v>0</v>
      </c>
      <c r="E682" s="39"/>
      <c r="F682" s="39"/>
      <c r="G682" s="39"/>
      <c r="H682" s="39"/>
      <c r="I682" s="39"/>
      <c r="J682" s="39"/>
      <c r="K682" s="39"/>
      <c r="L682" s="39"/>
      <c r="M682" s="39"/>
      <c r="N682" s="33"/>
      <c r="O682" s="106"/>
      <c r="P682" s="77"/>
    </row>
    <row r="683" spans="2:16" ht="30">
      <c r="B683" s="146" t="s">
        <v>968</v>
      </c>
      <c r="C683" s="165" t="s">
        <v>608</v>
      </c>
      <c r="D683" s="104">
        <f>SUM(F683:I683)</f>
        <v>0</v>
      </c>
      <c r="E683" s="61"/>
      <c r="F683" s="40"/>
      <c r="G683" s="40"/>
      <c r="H683" s="40"/>
      <c r="I683" s="40"/>
      <c r="J683" s="40"/>
      <c r="K683" s="39"/>
      <c r="L683" s="39"/>
      <c r="M683" s="39"/>
      <c r="N683" s="66" t="str">
        <f>IF((F683&gt;=F676)*AND(G683&gt;=G676)*AND(H683&gt;=H676)*AND(I683&gt;=I676),"Выполнено","ПРОВЕРИТЬ (ТОСов в муниципальных образованиях не может быть меньше чем муниципальных образований соответствующего вида с ТОСами)")</f>
        <v>Выполнено</v>
      </c>
      <c r="O683" s="106"/>
      <c r="P683" s="71"/>
    </row>
    <row r="684" spans="2:16">
      <c r="B684" s="146" t="s">
        <v>969</v>
      </c>
      <c r="C684" s="117" t="s">
        <v>609</v>
      </c>
      <c r="D684" s="104">
        <f>E684</f>
        <v>0</v>
      </c>
      <c r="E684" s="40"/>
      <c r="F684" s="39"/>
      <c r="G684" s="39"/>
      <c r="H684" s="39"/>
      <c r="I684" s="39"/>
      <c r="J684" s="44"/>
      <c r="K684" s="39"/>
      <c r="L684" s="39"/>
      <c r="M684" s="39"/>
      <c r="N684" s="107"/>
      <c r="O684" s="106"/>
      <c r="P684" s="77"/>
    </row>
    <row r="685" spans="2:16" ht="45">
      <c r="B685" s="146" t="s">
        <v>970</v>
      </c>
      <c r="C685" s="117" t="s">
        <v>613</v>
      </c>
      <c r="D685" s="104">
        <f>L685+M685</f>
        <v>0</v>
      </c>
      <c r="E685" s="39"/>
      <c r="F685" s="39"/>
      <c r="G685" s="39"/>
      <c r="H685" s="39"/>
      <c r="I685" s="39"/>
      <c r="J685" s="39"/>
      <c r="K685" s="39"/>
      <c r="L685" s="42"/>
      <c r="M685" s="42"/>
      <c r="N685" s="66" t="str">
        <f>IF((L685&gt;=L676)*AND(M685&gt;=M676),"Выполнено","ПРОВЕРИТЬ (ТОСов в муниципальных образованиях не может быть меньше чем муниципальных образований соответствующего вида с ТОСами)")</f>
        <v>Выполнено</v>
      </c>
      <c r="O685" s="106"/>
      <c r="P685" s="77"/>
    </row>
    <row r="686" spans="2:16" ht="60">
      <c r="B686" s="144" t="s">
        <v>376</v>
      </c>
      <c r="C686" s="145" t="s">
        <v>640</v>
      </c>
      <c r="D686" s="104">
        <f t="shared" ref="D686:D687" si="194">SUM(E686:I686)+SUM(K686:M686)</f>
        <v>0</v>
      </c>
      <c r="E686" s="38"/>
      <c r="F686" s="38"/>
      <c r="G686" s="38"/>
      <c r="H686" s="38"/>
      <c r="I686" s="38"/>
      <c r="J686" s="38"/>
      <c r="K686" s="38"/>
      <c r="L686" s="38"/>
      <c r="M686" s="38"/>
      <c r="N686" s="66" t="str">
        <f>IF((D686&lt;=D675)*AND(E686&lt;=E675)*AND(F686&lt;=F675)*AND(G686&lt;=G675)*AND(H686&lt;=H675)*AND(I686&lt;=I675)*AND(K686&lt;=K675)*AND(L686&lt;=L675)*AND(M686&lt;=M675)*AND(J686&lt;=J675),"Выполнено","ПРОВЕРИТЬ (таких муниципальных образований не может быть больше  числа муниципальных образований с ТОСами)")</f>
        <v>Выполнено</v>
      </c>
      <c r="O686" s="111" t="str">
        <f>IF(((D686=0)),"   ","Нужно заполнить пункт 62 текстовой части - о ТОСах, использующих бюджетные средства по соглашениям с муниципалитетами")</f>
        <v xml:space="preserve">   </v>
      </c>
      <c r="P686" s="77"/>
    </row>
    <row r="687" spans="2:16" ht="45">
      <c r="B687" s="143" t="s">
        <v>971</v>
      </c>
      <c r="C687" s="117" t="s">
        <v>187</v>
      </c>
      <c r="D687" s="104">
        <f t="shared" si="194"/>
        <v>0</v>
      </c>
      <c r="E687" s="40"/>
      <c r="F687" s="40"/>
      <c r="G687" s="40"/>
      <c r="H687" s="40"/>
      <c r="I687" s="40"/>
      <c r="J687" s="40"/>
      <c r="K687" s="40"/>
      <c r="L687" s="40"/>
      <c r="M687" s="40"/>
      <c r="N687" s="66" t="str">
        <f>IF((D686&lt;=D687)*AND(E686&lt;=E687)*AND(F686&lt;=F687)*AND(G686&lt;=G687)*AND(H686&lt;=H687)*AND(I686&lt;=I687)*AND(K686&lt;=K687)*AND(L686&lt;=L687)*AND(M686&lt;=M687)*AND(J686&lt;=J687),"Выполнено","ПРОВЕРИТЬ (ТОСов, сотрудничающих с муниципалитетами, не может быть меньше чем муниципалитетов, сотрудничающих с ТОСами)")</f>
        <v>Выполнено</v>
      </c>
      <c r="O687" s="106"/>
      <c r="P687" s="71"/>
    </row>
    <row r="688" spans="2:16">
      <c r="B688" s="151" t="s">
        <v>972</v>
      </c>
      <c r="C688" s="142" t="s">
        <v>25</v>
      </c>
      <c r="D688" s="25"/>
      <c r="E688" s="39"/>
      <c r="F688" s="39"/>
      <c r="G688" s="39"/>
      <c r="H688" s="39"/>
      <c r="I688" s="39"/>
      <c r="J688" s="39"/>
      <c r="K688" s="39"/>
      <c r="L688" s="39"/>
      <c r="M688" s="39"/>
      <c r="N688" s="34"/>
      <c r="O688" s="106"/>
      <c r="P688" s="71"/>
    </row>
    <row r="689" spans="2:16" s="9" customFormat="1" ht="30">
      <c r="B689" s="146" t="s">
        <v>38</v>
      </c>
      <c r="C689" s="117" t="s">
        <v>638</v>
      </c>
      <c r="D689" s="26"/>
      <c r="E689" s="39"/>
      <c r="F689" s="39"/>
      <c r="G689" s="39"/>
      <c r="H689" s="39"/>
      <c r="I689" s="39"/>
      <c r="J689" s="39"/>
      <c r="K689" s="39"/>
      <c r="L689" s="39"/>
      <c r="M689" s="39"/>
      <c r="N689" s="34"/>
      <c r="O689" s="106"/>
      <c r="P689" s="75"/>
    </row>
    <row r="690" spans="2:16" s="9" customFormat="1">
      <c r="B690" s="146" t="s">
        <v>973</v>
      </c>
      <c r="C690" s="117" t="s">
        <v>610</v>
      </c>
      <c r="D690" s="104">
        <f t="shared" ref="D690:D692" si="195">SUM(E690:I690)+SUM(K690:M690)</f>
        <v>1</v>
      </c>
      <c r="E690" s="40"/>
      <c r="F690" s="40"/>
      <c r="G690" s="40">
        <v>1</v>
      </c>
      <c r="H690" s="40"/>
      <c r="I690" s="40"/>
      <c r="J690" s="40"/>
      <c r="K690" s="40"/>
      <c r="L690" s="40"/>
      <c r="M690" s="42"/>
      <c r="N690" s="66" t="str">
        <f>IF((D690&lt;=D$10)*AND(E690&lt;=E$10)*AND(F690&lt;=F$10)*AND(G690&lt;=G$10)*AND(H690&lt;=H$10)*AND(I690&lt;=I$10)*AND(K690&lt;=K$10)*AND(L690&lt;=L$10)*AND(M690&lt;=M$10)*AND(J690&lt;=J$10),"Выполнено","ПРОВЕРИТЬ (таких муниципальных образований не может быть больше их общего числа)")</f>
        <v>Выполнено</v>
      </c>
      <c r="O690" s="106"/>
      <c r="P690" s="77"/>
    </row>
    <row r="691" spans="2:16" s="9" customFormat="1" ht="30">
      <c r="B691" s="146" t="s">
        <v>974</v>
      </c>
      <c r="C691" s="117" t="s">
        <v>639</v>
      </c>
      <c r="D691" s="104">
        <f t="shared" si="195"/>
        <v>1</v>
      </c>
      <c r="E691" s="40"/>
      <c r="F691" s="40"/>
      <c r="G691" s="40">
        <v>1</v>
      </c>
      <c r="H691" s="40"/>
      <c r="I691" s="40"/>
      <c r="J691" s="40"/>
      <c r="K691" s="40"/>
      <c r="L691" s="40"/>
      <c r="M691" s="42"/>
      <c r="N691" s="66" t="str">
        <f>IF((D691&lt;=D$10)*AND(E691&lt;=E$10)*AND(F691&lt;=F$10)*AND(G691&lt;=G$10)*AND(H691&lt;=H$10)*AND(I691&lt;=I$10)*AND(K691&lt;=K$10)*AND(L691&lt;=L$10)*AND(M691&lt;=M$10)*AND(J691&lt;=J$10),"Выполнено","ПРОВЕРИТЬ (таких муниципальных образований не может быть больше их общего числа)")</f>
        <v>Выполнено</v>
      </c>
      <c r="O691" s="111" t="str">
        <f>IF((E691&gt;=((F691+G691)/3000))*AND(K691&gt;=(L691/100)),"   ","Подсказка - если есть поселения со старостами, значит есть и районы со старостами, это же применимо и к гор.округам с делением")</f>
        <v>Подсказка - если есть поселения со старостами, значит есть и районы со старостами, это же применимо и к гор.округам с делением</v>
      </c>
      <c r="P691" s="77"/>
    </row>
    <row r="692" spans="2:16" s="9" customFormat="1" ht="30">
      <c r="B692" s="146" t="s">
        <v>975</v>
      </c>
      <c r="C692" s="117" t="s">
        <v>1191</v>
      </c>
      <c r="D692" s="104">
        <f t="shared" si="195"/>
        <v>0</v>
      </c>
      <c r="E692" s="40"/>
      <c r="F692" s="40"/>
      <c r="G692" s="40"/>
      <c r="H692" s="40"/>
      <c r="I692" s="40"/>
      <c r="J692" s="40"/>
      <c r="K692" s="40"/>
      <c r="L692" s="40"/>
      <c r="M692" s="42"/>
      <c r="N692" s="107"/>
      <c r="O692" s="111" t="str">
        <f>IF((D692&lt;=D691)*AND(E692&lt;=E691)*AND(F692&lt;=F691)*AND(G692&lt;=G691)*AND(H692&lt;=H691)*AND(I692&lt;=I691)*AND(K692&lt;=K691)*AND(L692&lt;=L691)*AND(M692&lt;=M691)*AND(J692&lt;=J691),"   ","Подсказка - вряд ли таких старост больше чем действующих старост")</f>
        <v xml:space="preserve">   </v>
      </c>
      <c r="P692" s="77"/>
    </row>
    <row r="693" spans="2:16" s="9" customFormat="1" ht="45">
      <c r="B693" s="146" t="s">
        <v>39</v>
      </c>
      <c r="C693" s="117" t="s">
        <v>207</v>
      </c>
      <c r="D693" s="2">
        <f>SUM(D694:D696)</f>
        <v>1</v>
      </c>
      <c r="E693" s="39"/>
      <c r="F693" s="39"/>
      <c r="G693" s="39"/>
      <c r="H693" s="39"/>
      <c r="I693" s="39"/>
      <c r="J693" s="39"/>
      <c r="K693" s="39"/>
      <c r="L693" s="39"/>
      <c r="M693" s="39"/>
      <c r="N693" s="33"/>
      <c r="O693" s="106"/>
      <c r="P693" s="77"/>
    </row>
    <row r="694" spans="2:16" s="9" customFormat="1" ht="30">
      <c r="B694" s="146" t="s">
        <v>976</v>
      </c>
      <c r="C694" s="165" t="s">
        <v>608</v>
      </c>
      <c r="D694" s="104">
        <f>SUM(F694:I694)</f>
        <v>1</v>
      </c>
      <c r="E694" s="61"/>
      <c r="F694" s="40"/>
      <c r="G694" s="40">
        <v>1</v>
      </c>
      <c r="H694" s="40"/>
      <c r="I694" s="40"/>
      <c r="J694" s="40"/>
      <c r="K694" s="39"/>
      <c r="L694" s="39"/>
      <c r="M694" s="39"/>
      <c r="N694" s="66" t="str">
        <f>IF((F694&gt;S693=F691)*AND(G694&gt;=G691)*AND(H694&gt;=H691)*AND(I694&gt;=I691),"Выполнено","ПРОВЕРИТЬ (старост в муниципальных образованиях не может быть меньше чем муниципальных образований соответствующего вида со старостами)")</f>
        <v>Выполнено</v>
      </c>
      <c r="O694" s="106"/>
      <c r="P694" s="77"/>
    </row>
    <row r="695" spans="2:16" s="9" customFormat="1">
      <c r="B695" s="146" t="s">
        <v>977</v>
      </c>
      <c r="C695" s="117" t="s">
        <v>609</v>
      </c>
      <c r="D695" s="104">
        <f>E695</f>
        <v>0</v>
      </c>
      <c r="E695" s="40"/>
      <c r="F695" s="39"/>
      <c r="G695" s="39"/>
      <c r="H695" s="39"/>
      <c r="I695" s="39"/>
      <c r="J695" s="44"/>
      <c r="K695" s="39"/>
      <c r="L695" s="39"/>
      <c r="M695" s="39"/>
      <c r="N695" s="107"/>
      <c r="O695" s="33"/>
      <c r="P695" s="110"/>
    </row>
    <row r="696" spans="2:16" s="9" customFormat="1" ht="45">
      <c r="B696" s="146" t="s">
        <v>978</v>
      </c>
      <c r="C696" s="117" t="s">
        <v>613</v>
      </c>
      <c r="D696" s="104">
        <f>L696+M696</f>
        <v>0</v>
      </c>
      <c r="E696" s="39"/>
      <c r="F696" s="39"/>
      <c r="G696" s="39"/>
      <c r="H696" s="39"/>
      <c r="I696" s="39"/>
      <c r="J696" s="39"/>
      <c r="K696" s="39"/>
      <c r="L696" s="42"/>
      <c r="M696" s="42"/>
      <c r="N696" s="66" t="str">
        <f>IF((L696&gt;=L691)*AND(M696&gt;=M691),"Выполнено","ПРОВЕРИТЬ (старост в муниципальных образованиях не может быть меньше чем муниципальных образований соответствующего вида со старостами)")</f>
        <v>Выполнено</v>
      </c>
      <c r="O696" s="33"/>
      <c r="P696" s="77"/>
    </row>
    <row r="697" spans="2:16" s="9" customFormat="1" ht="60">
      <c r="B697" s="146" t="s">
        <v>372</v>
      </c>
      <c r="C697" s="117" t="s">
        <v>1221</v>
      </c>
      <c r="D697" s="104">
        <f>SUM(D698:D700)</f>
        <v>0</v>
      </c>
      <c r="E697" s="39"/>
      <c r="F697" s="39"/>
      <c r="G697" s="39"/>
      <c r="H697" s="39"/>
      <c r="I697" s="39"/>
      <c r="J697" s="39"/>
      <c r="K697" s="39"/>
      <c r="L697" s="39"/>
      <c r="M697" s="39"/>
      <c r="N697" s="107"/>
      <c r="O697" s="113"/>
      <c r="P697" s="77"/>
    </row>
    <row r="698" spans="2:16" s="9" customFormat="1" ht="30">
      <c r="B698" s="146" t="s">
        <v>979</v>
      </c>
      <c r="C698" s="165" t="s">
        <v>608</v>
      </c>
      <c r="D698" s="104">
        <f>SUM(F698:I698)</f>
        <v>0</v>
      </c>
      <c r="E698" s="61"/>
      <c r="F698" s="40"/>
      <c r="G698" s="40"/>
      <c r="H698" s="40"/>
      <c r="I698" s="40"/>
      <c r="J698" s="40"/>
      <c r="K698" s="39"/>
      <c r="L698" s="39"/>
      <c r="M698" s="39"/>
      <c r="N698" s="107"/>
      <c r="O698" s="111" t="str">
        <f>IF((F698&lt;=F694)*AND(G698&lt;=G694)*AND(H698&lt;=H694)*AND(I698&lt;=I694),"   ","Подсказка - вряд ли таких старост больше чем действующих старост")</f>
        <v xml:space="preserve">   </v>
      </c>
      <c r="P698" s="77"/>
    </row>
    <row r="699" spans="2:16" s="9" customFormat="1">
      <c r="B699" s="146" t="s">
        <v>980</v>
      </c>
      <c r="C699" s="117" t="s">
        <v>609</v>
      </c>
      <c r="D699" s="104">
        <f>E699</f>
        <v>0</v>
      </c>
      <c r="E699" s="40"/>
      <c r="F699" s="39"/>
      <c r="G699" s="39"/>
      <c r="H699" s="39"/>
      <c r="I699" s="39"/>
      <c r="J699" s="44"/>
      <c r="K699" s="39"/>
      <c r="L699" s="39"/>
      <c r="M699" s="39"/>
      <c r="N699" s="107"/>
      <c r="O699" s="113"/>
      <c r="P699" s="77"/>
    </row>
    <row r="700" spans="2:16" s="9" customFormat="1" ht="45">
      <c r="B700" s="146" t="s">
        <v>981</v>
      </c>
      <c r="C700" s="117" t="s">
        <v>613</v>
      </c>
      <c r="D700" s="104">
        <f>L700+M700</f>
        <v>0</v>
      </c>
      <c r="E700" s="39"/>
      <c r="F700" s="39"/>
      <c r="G700" s="39"/>
      <c r="H700" s="39"/>
      <c r="I700" s="39"/>
      <c r="J700" s="39"/>
      <c r="K700" s="39"/>
      <c r="L700" s="42"/>
      <c r="M700" s="42"/>
      <c r="N700" s="107"/>
      <c r="O700" s="111" t="str">
        <f>IF((L700&lt;=L696)*AND(M700&lt;=M696)*AND(J700&lt;=J696),"   ","Подсказка - вряд ли таких старост больше чем действующих старост")</f>
        <v xml:space="preserve">   </v>
      </c>
      <c r="P700" s="77"/>
    </row>
    <row r="701" spans="2:16" s="9" customFormat="1">
      <c r="B701" s="12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7"/>
      <c r="O701" s="17"/>
      <c r="P701" s="77"/>
    </row>
    <row r="702" spans="2:16" s="9" customFormat="1">
      <c r="B702" s="171" t="s">
        <v>375</v>
      </c>
      <c r="C702" s="172"/>
      <c r="D702" s="172"/>
      <c r="E702" s="172"/>
      <c r="F702" s="172"/>
      <c r="G702" s="172"/>
      <c r="H702" s="172"/>
      <c r="I702" s="172"/>
      <c r="J702" s="172"/>
      <c r="K702" s="172"/>
      <c r="L702" s="172"/>
      <c r="M702" s="172"/>
      <c r="N702" s="172"/>
      <c r="O702" s="173"/>
      <c r="P702" s="110"/>
    </row>
    <row r="703" spans="2:16" s="9" customFormat="1" ht="30" customHeight="1">
      <c r="B703" s="112" t="s">
        <v>1</v>
      </c>
      <c r="C703" s="174" t="s">
        <v>1223</v>
      </c>
      <c r="D703" s="175"/>
      <c r="E703" s="175"/>
      <c r="F703" s="175"/>
      <c r="G703" s="175"/>
      <c r="H703" s="176" t="s">
        <v>1304</v>
      </c>
      <c r="I703" s="176"/>
      <c r="J703" s="176"/>
      <c r="K703" s="176"/>
      <c r="L703" s="176"/>
      <c r="M703" s="176"/>
      <c r="N703" s="176"/>
      <c r="O703" s="177"/>
      <c r="P703" s="77"/>
    </row>
    <row r="704" spans="2:16" s="9" customFormat="1" ht="15" customHeight="1">
      <c r="B704" s="112" t="s">
        <v>611</v>
      </c>
      <c r="C704" s="178" t="s">
        <v>15</v>
      </c>
      <c r="D704" s="175"/>
      <c r="E704" s="175"/>
      <c r="F704" s="175"/>
      <c r="G704" s="175"/>
      <c r="H704" s="176" t="s">
        <v>1301</v>
      </c>
      <c r="I704" s="176"/>
      <c r="J704" s="176"/>
      <c r="K704" s="176"/>
      <c r="L704" s="176"/>
      <c r="M704" s="176"/>
      <c r="N704" s="176"/>
      <c r="O704" s="177"/>
      <c r="P704" s="77"/>
    </row>
    <row r="705" spans="1:16" s="9" customFormat="1" ht="15" customHeight="1">
      <c r="B705" s="112" t="s">
        <v>337</v>
      </c>
      <c r="C705" s="178" t="s">
        <v>614</v>
      </c>
      <c r="D705" s="175"/>
      <c r="E705" s="175"/>
      <c r="F705" s="175"/>
      <c r="G705" s="175"/>
      <c r="H705" s="176" t="s">
        <v>1302</v>
      </c>
      <c r="I705" s="176"/>
      <c r="J705" s="176"/>
      <c r="K705" s="176"/>
      <c r="L705" s="176"/>
      <c r="M705" s="176"/>
      <c r="N705" s="176"/>
      <c r="O705" s="177"/>
      <c r="P705" s="77"/>
    </row>
    <row r="706" spans="1:16" s="9" customFormat="1" ht="15" customHeight="1">
      <c r="B706" s="112" t="s">
        <v>338</v>
      </c>
      <c r="C706" s="174" t="s">
        <v>1224</v>
      </c>
      <c r="D706" s="175"/>
      <c r="E706" s="175"/>
      <c r="F706" s="175"/>
      <c r="G706" s="175"/>
      <c r="H706" s="176" t="s">
        <v>1303</v>
      </c>
      <c r="I706" s="176"/>
      <c r="J706" s="176"/>
      <c r="K706" s="176"/>
      <c r="L706" s="176"/>
      <c r="M706" s="176"/>
      <c r="N706" s="176"/>
      <c r="O706" s="177"/>
      <c r="P706" s="77"/>
    </row>
    <row r="707" spans="1:16" s="9" customFormat="1" ht="30" customHeight="1">
      <c r="B707" s="112" t="s">
        <v>612</v>
      </c>
      <c r="C707" s="174" t="s">
        <v>1228</v>
      </c>
      <c r="D707" s="175"/>
      <c r="E707" s="175"/>
      <c r="F707" s="175"/>
      <c r="G707" s="175"/>
      <c r="H707" s="176" t="s">
        <v>1305</v>
      </c>
      <c r="I707" s="176"/>
      <c r="J707" s="176"/>
      <c r="K707" s="176"/>
      <c r="L707" s="176"/>
      <c r="M707" s="176"/>
      <c r="N707" s="176"/>
      <c r="O707" s="177"/>
      <c r="P707" s="110"/>
    </row>
    <row r="708" spans="1:16" s="9" customFormat="1" ht="30" customHeight="1">
      <c r="B708" s="112" t="s">
        <v>464</v>
      </c>
      <c r="C708" s="174" t="s">
        <v>1226</v>
      </c>
      <c r="D708" s="175"/>
      <c r="E708" s="175"/>
      <c r="F708" s="175"/>
      <c r="G708" s="175"/>
      <c r="H708" s="176" t="s">
        <v>1227</v>
      </c>
      <c r="I708" s="176"/>
      <c r="J708" s="176"/>
      <c r="K708" s="176"/>
      <c r="L708" s="176"/>
      <c r="M708" s="176"/>
      <c r="N708" s="176"/>
      <c r="O708" s="177"/>
      <c r="P708" s="110"/>
    </row>
    <row r="709" spans="1:16" s="9" customFormat="1" ht="15" customHeight="1">
      <c r="B709" s="112" t="s">
        <v>465</v>
      </c>
      <c r="C709" s="174" t="s">
        <v>1225</v>
      </c>
      <c r="D709" s="175"/>
      <c r="E709" s="175"/>
      <c r="F709" s="175"/>
      <c r="G709" s="175"/>
      <c r="H709" s="176" t="s">
        <v>1227</v>
      </c>
      <c r="I709" s="176"/>
      <c r="J709" s="176"/>
      <c r="K709" s="176"/>
      <c r="L709" s="176"/>
      <c r="M709" s="176"/>
      <c r="N709" s="176"/>
      <c r="O709" s="177"/>
      <c r="P709" s="110"/>
    </row>
    <row r="710" spans="1:16" s="9" customFormat="1" ht="30" customHeight="1">
      <c r="A710" s="28"/>
      <c r="B710" s="112" t="s">
        <v>433</v>
      </c>
      <c r="C710" s="174" t="s">
        <v>1228</v>
      </c>
      <c r="D710" s="175"/>
      <c r="E710" s="175"/>
      <c r="F710" s="175"/>
      <c r="G710" s="175"/>
      <c r="H710" s="176" t="s">
        <v>1227</v>
      </c>
      <c r="I710" s="176"/>
      <c r="J710" s="176"/>
      <c r="K710" s="176"/>
      <c r="L710" s="176"/>
      <c r="M710" s="176"/>
      <c r="N710" s="176"/>
      <c r="O710" s="177"/>
      <c r="P710" s="77"/>
    </row>
    <row r="711" spans="1:16" s="9" customFormat="1" ht="18.75">
      <c r="A711" s="28"/>
      <c r="B711" s="171"/>
      <c r="C711" s="172"/>
      <c r="D711" s="172"/>
      <c r="E711" s="172"/>
      <c r="F711" s="172"/>
      <c r="G711" s="172"/>
      <c r="H711" s="172"/>
      <c r="I711" s="172"/>
      <c r="J711" s="172"/>
      <c r="K711" s="172"/>
      <c r="L711" s="172"/>
      <c r="M711" s="172"/>
      <c r="N711" s="172"/>
      <c r="O711" s="173"/>
      <c r="P711" s="77"/>
    </row>
    <row r="712" spans="1:16" s="9" customFormat="1">
      <c r="A712" s="28"/>
      <c r="B712" s="12"/>
      <c r="C712" s="5"/>
      <c r="D712" s="5"/>
      <c r="E712" s="5"/>
      <c r="F712" s="5"/>
      <c r="G712" s="5"/>
      <c r="H712" s="24"/>
      <c r="I712" s="5"/>
      <c r="J712" s="105"/>
      <c r="K712" s="5"/>
      <c r="L712" s="5"/>
      <c r="M712" s="5"/>
      <c r="N712" s="16"/>
      <c r="O712" s="16"/>
      <c r="P712" s="77"/>
    </row>
    <row r="713" spans="1:16" s="9" customFormat="1">
      <c r="A713" s="28"/>
      <c r="B713" s="12"/>
      <c r="C713" s="5"/>
      <c r="D713" s="5"/>
      <c r="E713" s="5"/>
      <c r="F713" s="5"/>
      <c r="G713" s="5"/>
      <c r="H713" s="24"/>
      <c r="I713" s="5"/>
      <c r="J713" s="105"/>
      <c r="K713" s="5"/>
      <c r="L713" s="5"/>
      <c r="M713" s="5"/>
      <c r="N713" s="16"/>
      <c r="O713" s="16"/>
      <c r="P713" s="77"/>
    </row>
    <row r="714" spans="1:16" s="9" customFormat="1">
      <c r="A714" s="28"/>
      <c r="B714" s="12"/>
      <c r="C714" s="5"/>
      <c r="D714" s="5"/>
      <c r="E714" s="5"/>
      <c r="F714" s="5"/>
      <c r="G714" s="5"/>
      <c r="H714" s="24"/>
      <c r="I714" s="5"/>
      <c r="J714" s="105"/>
      <c r="K714" s="5"/>
      <c r="L714" s="5"/>
      <c r="M714" s="5"/>
      <c r="N714" s="16"/>
      <c r="O714" s="16"/>
      <c r="P714" s="77"/>
    </row>
    <row r="715" spans="1:16" s="9" customFormat="1">
      <c r="B715" s="12"/>
      <c r="C715" s="5"/>
      <c r="D715" s="5"/>
      <c r="E715" s="5"/>
      <c r="F715" s="5"/>
      <c r="G715" s="5"/>
      <c r="H715" s="24"/>
      <c r="I715" s="5"/>
      <c r="J715" s="105"/>
      <c r="K715" s="5"/>
      <c r="L715" s="5"/>
      <c r="M715" s="5"/>
      <c r="N715" s="16"/>
      <c r="O715" s="16"/>
      <c r="P715" s="77"/>
    </row>
    <row r="716" spans="1:16" s="9" customFormat="1">
      <c r="B716" s="12"/>
      <c r="C716" s="5"/>
      <c r="D716" s="5"/>
      <c r="E716" s="5"/>
      <c r="F716" s="5"/>
      <c r="G716" s="5"/>
      <c r="H716" s="24"/>
      <c r="I716" s="5"/>
      <c r="J716" s="105"/>
      <c r="K716" s="5"/>
      <c r="L716" s="5"/>
      <c r="M716" s="5"/>
      <c r="N716" s="16"/>
      <c r="O716" s="16"/>
      <c r="P716" s="110"/>
    </row>
    <row r="717" spans="1:16" s="9" customFormat="1">
      <c r="B717" s="12"/>
      <c r="C717" s="5"/>
      <c r="D717" s="5"/>
      <c r="E717" s="5"/>
      <c r="F717" s="5"/>
      <c r="G717" s="5"/>
      <c r="H717" s="24"/>
      <c r="I717" s="5"/>
      <c r="J717" s="105"/>
      <c r="K717" s="5"/>
      <c r="L717" s="5"/>
      <c r="M717" s="5"/>
      <c r="N717" s="16"/>
      <c r="O717" s="16"/>
      <c r="P717" s="77"/>
    </row>
    <row r="718" spans="1:16">
      <c r="P718" s="77"/>
    </row>
    <row r="719" spans="1:16">
      <c r="P719" s="77"/>
    </row>
    <row r="720" spans="1:16">
      <c r="P720" s="77"/>
    </row>
    <row r="721" spans="2:16">
      <c r="P721" s="77"/>
    </row>
    <row r="722" spans="2:16">
      <c r="P722" s="77"/>
    </row>
    <row r="723" spans="2:16">
      <c r="P723" s="77"/>
    </row>
    <row r="724" spans="2:16">
      <c r="P724" s="77"/>
    </row>
    <row r="725" spans="2:16" s="22" customFormat="1">
      <c r="B725" s="12"/>
      <c r="C725" s="5"/>
      <c r="D725" s="5"/>
      <c r="E725" s="5"/>
      <c r="F725" s="5"/>
      <c r="G725" s="5"/>
      <c r="H725" s="24"/>
      <c r="I725" s="5"/>
      <c r="J725" s="105"/>
      <c r="K725" s="5"/>
      <c r="L725" s="5"/>
      <c r="M725" s="5"/>
      <c r="N725" s="16"/>
      <c r="O725" s="16"/>
      <c r="P725" s="77"/>
    </row>
    <row r="726" spans="2:16">
      <c r="P726" s="77"/>
    </row>
    <row r="727" spans="2:16" s="105" customFormat="1">
      <c r="B727" s="12"/>
      <c r="C727" s="5"/>
      <c r="D727" s="5"/>
      <c r="E727" s="5"/>
      <c r="F727" s="5"/>
      <c r="G727" s="5"/>
      <c r="H727" s="24"/>
      <c r="I727" s="5"/>
      <c r="K727" s="5"/>
      <c r="L727" s="5"/>
      <c r="M727" s="5"/>
      <c r="N727" s="16"/>
      <c r="O727" s="16"/>
      <c r="P727" s="110"/>
    </row>
    <row r="728" spans="2:16">
      <c r="P728" s="77"/>
    </row>
    <row r="729" spans="2:16">
      <c r="P729" s="77"/>
    </row>
    <row r="730" spans="2:16">
      <c r="P730" s="77"/>
    </row>
    <row r="731" spans="2:16">
      <c r="P731" s="77"/>
    </row>
    <row r="732" spans="2:16">
      <c r="P732" s="77"/>
    </row>
    <row r="733" spans="2:16">
      <c r="P733" s="77"/>
    </row>
    <row r="734" spans="2:16">
      <c r="P734" s="77"/>
    </row>
    <row r="735" spans="2:16" s="105" customFormat="1">
      <c r="B735" s="12"/>
      <c r="C735" s="5"/>
      <c r="D735" s="5"/>
      <c r="E735" s="5"/>
      <c r="F735" s="5"/>
      <c r="G735" s="5"/>
      <c r="H735" s="24"/>
      <c r="I735" s="5"/>
      <c r="K735" s="5"/>
      <c r="L735" s="5"/>
      <c r="M735" s="5"/>
      <c r="N735" s="16"/>
      <c r="O735" s="16"/>
      <c r="P735" s="110"/>
    </row>
    <row r="736" spans="2:16">
      <c r="P736" s="77"/>
    </row>
    <row r="737" spans="2:16">
      <c r="P737" s="77"/>
    </row>
    <row r="738" spans="2:16">
      <c r="P738" s="77"/>
    </row>
    <row r="739" spans="2:16">
      <c r="P739" s="77"/>
    </row>
    <row r="740" spans="2:16">
      <c r="P740" s="77"/>
    </row>
    <row r="741" spans="2:16">
      <c r="P741" s="77"/>
    </row>
    <row r="742" spans="2:16">
      <c r="P742" s="77"/>
    </row>
    <row r="743" spans="2:16" s="105" customFormat="1">
      <c r="B743" s="12"/>
      <c r="C743" s="5"/>
      <c r="D743" s="5"/>
      <c r="E743" s="5"/>
      <c r="F743" s="5"/>
      <c r="G743" s="5"/>
      <c r="H743" s="24"/>
      <c r="I743" s="5"/>
      <c r="K743" s="5"/>
      <c r="L743" s="5"/>
      <c r="M743" s="5"/>
      <c r="N743" s="16"/>
      <c r="O743" s="16"/>
      <c r="P743" s="110"/>
    </row>
    <row r="744" spans="2:16">
      <c r="P744" s="77"/>
    </row>
    <row r="745" spans="2:16">
      <c r="P745" s="77"/>
    </row>
    <row r="746" spans="2:16">
      <c r="P746" s="77"/>
    </row>
    <row r="747" spans="2:16">
      <c r="P747" s="77"/>
    </row>
    <row r="748" spans="2:16">
      <c r="P748" s="77"/>
    </row>
    <row r="749" spans="2:16">
      <c r="P749" s="75"/>
    </row>
    <row r="750" spans="2:16">
      <c r="P750" s="77"/>
    </row>
    <row r="751" spans="2:16">
      <c r="P751" s="77"/>
    </row>
    <row r="752" spans="2:16">
      <c r="P752" s="75"/>
    </row>
    <row r="753" spans="2:16">
      <c r="P753" s="77"/>
    </row>
    <row r="754" spans="2:16">
      <c r="P754" s="77"/>
    </row>
    <row r="755" spans="2:16" s="9" customFormat="1">
      <c r="B755" s="12"/>
      <c r="C755" s="5"/>
      <c r="D755" s="5"/>
      <c r="E755" s="5"/>
      <c r="F755" s="5"/>
      <c r="G755" s="5"/>
      <c r="H755" s="24"/>
      <c r="I755" s="5"/>
      <c r="J755" s="105"/>
      <c r="K755" s="5"/>
      <c r="L755" s="5"/>
      <c r="M755" s="5"/>
      <c r="N755" s="16"/>
      <c r="O755" s="16"/>
      <c r="P755" s="75"/>
    </row>
    <row r="756" spans="2:16">
      <c r="P756" s="71"/>
    </row>
    <row r="757" spans="2:16">
      <c r="P757" s="71"/>
    </row>
    <row r="758" spans="2:16">
      <c r="P758" s="71"/>
    </row>
    <row r="759" spans="2:16">
      <c r="P759" s="71"/>
    </row>
    <row r="760" spans="2:16">
      <c r="P760" s="71"/>
    </row>
    <row r="761" spans="2:16">
      <c r="P761" s="71"/>
    </row>
    <row r="762" spans="2:16" s="24" customFormat="1">
      <c r="B762" s="12"/>
      <c r="C762" s="5"/>
      <c r="D762" s="5"/>
      <c r="E762" s="5"/>
      <c r="F762" s="5"/>
      <c r="G762" s="5"/>
      <c r="I762" s="5"/>
      <c r="J762" s="105"/>
      <c r="K762" s="5"/>
      <c r="L762" s="5"/>
      <c r="M762" s="5"/>
      <c r="N762" s="16"/>
      <c r="O762" s="16"/>
      <c r="P762" s="71"/>
    </row>
    <row r="763" spans="2:16" s="24" customFormat="1">
      <c r="B763" s="12"/>
      <c r="C763" s="5"/>
      <c r="D763" s="5"/>
      <c r="E763" s="5"/>
      <c r="F763" s="5"/>
      <c r="G763" s="5"/>
      <c r="I763" s="5"/>
      <c r="J763" s="105"/>
      <c r="K763" s="5"/>
      <c r="L763" s="5"/>
      <c r="M763" s="5"/>
      <c r="N763" s="16"/>
      <c r="O763" s="16"/>
      <c r="P763" s="71"/>
    </row>
    <row r="764" spans="2:16" s="24" customFormat="1">
      <c r="B764" s="12"/>
      <c r="C764" s="5"/>
      <c r="D764" s="5"/>
      <c r="E764" s="5"/>
      <c r="F764" s="5"/>
      <c r="G764" s="5"/>
      <c r="I764" s="5"/>
      <c r="J764" s="105"/>
      <c r="K764" s="5"/>
      <c r="L764" s="5"/>
      <c r="M764" s="5"/>
      <c r="N764" s="16"/>
      <c r="O764" s="16"/>
      <c r="P764" s="71"/>
    </row>
    <row r="765" spans="2:16" s="24" customFormat="1">
      <c r="B765" s="12"/>
      <c r="C765" s="5"/>
      <c r="D765" s="5"/>
      <c r="E765" s="5"/>
      <c r="F765" s="5"/>
      <c r="G765" s="5"/>
      <c r="I765" s="5"/>
      <c r="J765" s="105"/>
      <c r="K765" s="5"/>
      <c r="L765" s="5"/>
      <c r="M765" s="5"/>
      <c r="N765" s="16"/>
      <c r="O765" s="16"/>
      <c r="P765" s="71"/>
    </row>
    <row r="766" spans="2:16" s="24" customFormat="1">
      <c r="B766" s="12"/>
      <c r="C766" s="5"/>
      <c r="D766" s="5"/>
      <c r="E766" s="5"/>
      <c r="F766" s="5"/>
      <c r="G766" s="5"/>
      <c r="I766" s="5"/>
      <c r="J766" s="105"/>
      <c r="K766" s="5"/>
      <c r="L766" s="5"/>
      <c r="M766" s="5"/>
      <c r="N766" s="16"/>
      <c r="O766" s="16"/>
      <c r="P766" s="71"/>
    </row>
    <row r="767" spans="2:16" s="105" customFormat="1">
      <c r="B767" s="12"/>
      <c r="C767" s="5"/>
      <c r="D767" s="5"/>
      <c r="E767" s="5"/>
      <c r="F767" s="5"/>
      <c r="G767" s="5"/>
      <c r="H767" s="24"/>
      <c r="I767" s="5"/>
      <c r="K767" s="5"/>
      <c r="L767" s="5"/>
      <c r="M767" s="5"/>
      <c r="N767" s="16"/>
      <c r="O767" s="16"/>
      <c r="P767" s="71"/>
    </row>
    <row r="768" spans="2:16">
      <c r="P768" s="71"/>
    </row>
    <row r="769" spans="1:16" s="105" customFormat="1">
      <c r="B769" s="12"/>
      <c r="C769" s="5"/>
      <c r="D769" s="5"/>
      <c r="E769" s="5"/>
      <c r="F769" s="5"/>
      <c r="G769" s="5"/>
      <c r="H769" s="24"/>
      <c r="I769" s="5"/>
      <c r="K769" s="5"/>
      <c r="L769" s="5"/>
      <c r="M769" s="5"/>
      <c r="N769" s="16"/>
      <c r="O769" s="16"/>
      <c r="P769" s="71"/>
    </row>
    <row r="770" spans="1:16" s="9" customFormat="1">
      <c r="B770" s="12"/>
      <c r="C770" s="5"/>
      <c r="D770" s="5"/>
      <c r="E770" s="5"/>
      <c r="F770" s="5"/>
      <c r="G770" s="5"/>
      <c r="H770" s="24"/>
      <c r="I770" s="5"/>
      <c r="J770" s="105"/>
      <c r="K770" s="5"/>
      <c r="L770" s="5"/>
      <c r="M770" s="5"/>
      <c r="N770" s="16"/>
      <c r="O770" s="16"/>
      <c r="P770" s="75"/>
    </row>
    <row r="771" spans="1:16" s="9" customFormat="1">
      <c r="A771" s="11"/>
      <c r="B771" s="12"/>
      <c r="C771" s="5"/>
      <c r="D771" s="5"/>
      <c r="E771" s="5"/>
      <c r="F771" s="5"/>
      <c r="G771" s="5"/>
      <c r="H771" s="24"/>
      <c r="I771" s="5"/>
      <c r="J771" s="105"/>
      <c r="K771" s="5"/>
      <c r="L771" s="5"/>
      <c r="M771" s="5"/>
      <c r="N771" s="16"/>
      <c r="O771" s="16"/>
      <c r="P771" s="75"/>
    </row>
    <row r="772" spans="1:16" s="9" customFormat="1">
      <c r="A772" s="11"/>
      <c r="B772" s="12"/>
      <c r="C772" s="5"/>
      <c r="D772" s="5"/>
      <c r="E772" s="5"/>
      <c r="F772" s="5"/>
      <c r="G772" s="5"/>
      <c r="H772" s="24"/>
      <c r="I772" s="5"/>
      <c r="J772" s="105"/>
      <c r="K772" s="5"/>
      <c r="L772" s="5"/>
      <c r="M772" s="5"/>
      <c r="N772" s="16"/>
      <c r="O772" s="16"/>
      <c r="P772" s="71"/>
    </row>
    <row r="773" spans="1:16" s="9" customFormat="1">
      <c r="A773" s="11"/>
      <c r="B773" s="12"/>
      <c r="C773" s="5"/>
      <c r="D773" s="5"/>
      <c r="E773" s="5"/>
      <c r="F773" s="5"/>
      <c r="G773" s="5"/>
      <c r="H773" s="24"/>
      <c r="I773" s="5"/>
      <c r="J773" s="105"/>
      <c r="K773" s="5"/>
      <c r="L773" s="5"/>
      <c r="M773" s="5"/>
      <c r="N773" s="16"/>
      <c r="O773" s="16"/>
      <c r="P773" s="71"/>
    </row>
    <row r="774" spans="1:16" s="9" customFormat="1">
      <c r="A774" s="11"/>
      <c r="B774" s="12"/>
      <c r="C774" s="5"/>
      <c r="D774" s="5"/>
      <c r="E774" s="5"/>
      <c r="F774" s="5"/>
      <c r="G774" s="5"/>
      <c r="H774" s="24"/>
      <c r="I774" s="5"/>
      <c r="J774" s="105"/>
      <c r="K774" s="5"/>
      <c r="L774" s="5"/>
      <c r="M774" s="5"/>
      <c r="N774" s="16"/>
      <c r="O774" s="16"/>
      <c r="P774" s="71"/>
    </row>
    <row r="775" spans="1:16" s="9" customFormat="1">
      <c r="A775" s="11"/>
      <c r="B775" s="12"/>
      <c r="C775" s="5"/>
      <c r="D775" s="5"/>
      <c r="E775" s="5"/>
      <c r="F775" s="5"/>
      <c r="G775" s="5"/>
      <c r="H775" s="24"/>
      <c r="I775" s="5"/>
      <c r="J775" s="105"/>
      <c r="K775" s="5"/>
      <c r="L775" s="5"/>
      <c r="M775" s="5"/>
      <c r="N775" s="16"/>
      <c r="O775" s="16"/>
      <c r="P775" s="75"/>
    </row>
    <row r="776" spans="1:16" s="9" customFormat="1">
      <c r="A776" s="11"/>
      <c r="B776" s="12"/>
      <c r="C776" s="5"/>
      <c r="D776" s="5"/>
      <c r="E776" s="5"/>
      <c r="F776" s="5"/>
      <c r="G776" s="5"/>
      <c r="H776" s="24"/>
      <c r="I776" s="5"/>
      <c r="J776" s="105"/>
      <c r="K776" s="5"/>
      <c r="L776" s="5"/>
      <c r="M776" s="5"/>
      <c r="N776" s="16"/>
      <c r="O776" s="16"/>
      <c r="P776" s="71"/>
    </row>
    <row r="777" spans="1:16" s="9" customFormat="1">
      <c r="A777" s="11"/>
      <c r="B777" s="12"/>
      <c r="C777" s="5"/>
      <c r="D777" s="5"/>
      <c r="E777" s="5"/>
      <c r="F777" s="5"/>
      <c r="G777" s="5"/>
      <c r="H777" s="24"/>
      <c r="I777" s="5"/>
      <c r="J777" s="105"/>
      <c r="K777" s="5"/>
      <c r="L777" s="5"/>
      <c r="M777" s="5"/>
      <c r="N777" s="16"/>
      <c r="O777" s="16"/>
      <c r="P777" s="71"/>
    </row>
    <row r="778" spans="1:16" s="9" customFormat="1">
      <c r="A778" s="11"/>
      <c r="B778" s="12"/>
      <c r="C778" s="5"/>
      <c r="D778" s="5"/>
      <c r="E778" s="5"/>
      <c r="F778" s="5"/>
      <c r="G778" s="5"/>
      <c r="H778" s="24"/>
      <c r="I778" s="5"/>
      <c r="J778" s="105"/>
      <c r="K778" s="5"/>
      <c r="L778" s="5"/>
      <c r="M778" s="5"/>
      <c r="N778" s="16"/>
      <c r="O778" s="16"/>
      <c r="P778" s="71"/>
    </row>
    <row r="779" spans="1:16" s="9" customFormat="1">
      <c r="A779" s="11"/>
      <c r="B779" s="12"/>
      <c r="C779" s="5"/>
      <c r="D779" s="5"/>
      <c r="E779" s="5"/>
      <c r="F779" s="5"/>
      <c r="G779" s="5"/>
      <c r="H779" s="24"/>
      <c r="I779" s="5"/>
      <c r="J779" s="105"/>
      <c r="K779" s="5"/>
      <c r="L779" s="5"/>
      <c r="M779" s="5"/>
      <c r="N779" s="16"/>
      <c r="O779" s="16"/>
      <c r="P779" s="71"/>
    </row>
    <row r="780" spans="1:16" s="9" customFormat="1">
      <c r="A780" s="11"/>
      <c r="B780" s="12"/>
      <c r="C780" s="5"/>
      <c r="D780" s="5"/>
      <c r="E780" s="5"/>
      <c r="F780" s="5"/>
      <c r="G780" s="5"/>
      <c r="H780" s="24"/>
      <c r="I780" s="5"/>
      <c r="J780" s="105"/>
      <c r="K780" s="5"/>
      <c r="L780" s="5"/>
      <c r="M780" s="5"/>
      <c r="N780" s="16"/>
      <c r="O780" s="16"/>
      <c r="P780" s="77"/>
    </row>
    <row r="781" spans="1:16" s="9" customFormat="1">
      <c r="A781" s="11"/>
      <c r="B781" s="12"/>
      <c r="C781" s="5"/>
      <c r="D781" s="5"/>
      <c r="E781" s="5"/>
      <c r="F781" s="5"/>
      <c r="G781" s="5"/>
      <c r="H781" s="24"/>
      <c r="I781" s="5"/>
      <c r="J781" s="105"/>
      <c r="K781" s="5"/>
      <c r="L781" s="5"/>
      <c r="M781" s="5"/>
      <c r="N781" s="16"/>
      <c r="O781" s="16"/>
      <c r="P781" s="77"/>
    </row>
    <row r="782" spans="1:16" s="9" customFormat="1">
      <c r="A782" s="11"/>
      <c r="B782" s="12"/>
      <c r="C782" s="5"/>
      <c r="D782" s="5"/>
      <c r="E782" s="5"/>
      <c r="F782" s="5"/>
      <c r="G782" s="5"/>
      <c r="H782" s="24"/>
      <c r="I782" s="5"/>
      <c r="J782" s="105"/>
      <c r="K782" s="5"/>
      <c r="L782" s="5"/>
      <c r="M782" s="5"/>
      <c r="N782" s="16"/>
      <c r="O782" s="16"/>
      <c r="P782" s="71"/>
    </row>
    <row r="783" spans="1:16" s="9" customFormat="1">
      <c r="B783" s="12"/>
      <c r="C783" s="5"/>
      <c r="D783" s="5"/>
      <c r="E783" s="5"/>
      <c r="F783" s="5"/>
      <c r="G783" s="5"/>
      <c r="H783" s="24"/>
      <c r="I783" s="5"/>
      <c r="J783" s="105"/>
      <c r="K783" s="5"/>
      <c r="L783" s="5"/>
      <c r="M783" s="5"/>
      <c r="N783" s="16"/>
      <c r="O783" s="16"/>
      <c r="P783" s="75"/>
    </row>
    <row r="784" spans="1:16" s="9" customFormat="1">
      <c r="B784" s="12"/>
      <c r="C784" s="5"/>
      <c r="D784" s="5"/>
      <c r="E784" s="5"/>
      <c r="F784" s="5"/>
      <c r="G784" s="5"/>
      <c r="H784" s="24"/>
      <c r="I784" s="5"/>
      <c r="J784" s="105"/>
      <c r="K784" s="5"/>
      <c r="L784" s="5"/>
      <c r="M784" s="5"/>
      <c r="N784" s="16"/>
      <c r="O784" s="16"/>
      <c r="P784" s="71"/>
    </row>
    <row r="785" spans="2:16">
      <c r="P785" s="71"/>
    </row>
    <row r="786" spans="2:16">
      <c r="P786" s="71"/>
    </row>
    <row r="787" spans="2:16">
      <c r="P787" s="71"/>
    </row>
    <row r="788" spans="2:16" s="18" customFormat="1">
      <c r="B788" s="12"/>
      <c r="C788" s="5"/>
      <c r="D788" s="5"/>
      <c r="E788" s="5"/>
      <c r="F788" s="5"/>
      <c r="G788" s="5"/>
      <c r="H788" s="24"/>
      <c r="I788" s="5"/>
      <c r="J788" s="105"/>
      <c r="K788" s="5"/>
      <c r="L788" s="5"/>
      <c r="M788" s="5"/>
      <c r="N788" s="16"/>
      <c r="O788" s="16"/>
      <c r="P788" s="77"/>
    </row>
    <row r="789" spans="2:16">
      <c r="P789" s="71"/>
    </row>
    <row r="790" spans="2:16">
      <c r="P790" s="71"/>
    </row>
    <row r="791" spans="2:16">
      <c r="P791" s="75"/>
    </row>
    <row r="792" spans="2:16">
      <c r="P792" s="77"/>
    </row>
    <row r="793" spans="2:16">
      <c r="P793" s="77"/>
    </row>
    <row r="794" spans="2:16">
      <c r="P794" s="77"/>
    </row>
    <row r="795" spans="2:16">
      <c r="P795" s="77"/>
    </row>
    <row r="796" spans="2:16" s="24" customFormat="1">
      <c r="B796" s="12"/>
      <c r="C796" s="5"/>
      <c r="D796" s="5"/>
      <c r="E796" s="5"/>
      <c r="F796" s="5"/>
      <c r="G796" s="5"/>
      <c r="I796" s="5"/>
      <c r="J796" s="105"/>
      <c r="K796" s="5"/>
      <c r="L796" s="5"/>
      <c r="M796" s="5"/>
      <c r="N796" s="16"/>
      <c r="O796" s="16"/>
      <c r="P796" s="77"/>
    </row>
    <row r="797" spans="2:16" s="24" customFormat="1">
      <c r="B797" s="12"/>
      <c r="C797" s="5"/>
      <c r="D797" s="5"/>
      <c r="E797" s="5"/>
      <c r="F797" s="5"/>
      <c r="G797" s="5"/>
      <c r="I797" s="5"/>
      <c r="J797" s="105"/>
      <c r="K797" s="5"/>
      <c r="L797" s="5"/>
      <c r="M797" s="5"/>
      <c r="N797" s="16"/>
      <c r="O797" s="16"/>
      <c r="P797" s="77"/>
    </row>
    <row r="798" spans="2:16" s="105" customFormat="1">
      <c r="B798" s="12"/>
      <c r="C798" s="5"/>
      <c r="D798" s="5"/>
      <c r="E798" s="5"/>
      <c r="F798" s="5"/>
      <c r="G798" s="5"/>
      <c r="H798" s="24"/>
      <c r="I798" s="5"/>
      <c r="K798" s="5"/>
      <c r="L798" s="5"/>
      <c r="M798" s="5"/>
      <c r="N798" s="16"/>
      <c r="O798" s="16"/>
      <c r="P798" s="110"/>
    </row>
    <row r="799" spans="2:16" s="24" customFormat="1">
      <c r="B799" s="12"/>
      <c r="C799" s="5"/>
      <c r="D799" s="5"/>
      <c r="E799" s="5"/>
      <c r="F799" s="5"/>
      <c r="G799" s="5"/>
      <c r="I799" s="5"/>
      <c r="J799" s="105"/>
      <c r="K799" s="5"/>
      <c r="L799" s="5"/>
      <c r="M799" s="5"/>
      <c r="N799" s="16"/>
      <c r="O799" s="16"/>
      <c r="P799" s="77"/>
    </row>
    <row r="800" spans="2:16" s="105" customFormat="1">
      <c r="B800" s="12"/>
      <c r="C800" s="5"/>
      <c r="D800" s="5"/>
      <c r="E800" s="5"/>
      <c r="F800" s="5"/>
      <c r="G800" s="5"/>
      <c r="H800" s="24"/>
      <c r="I800" s="5"/>
      <c r="K800" s="5"/>
      <c r="L800" s="5"/>
      <c r="M800" s="5"/>
      <c r="N800" s="16"/>
      <c r="O800" s="16"/>
      <c r="P800" s="110"/>
    </row>
    <row r="801" spans="2:16" s="105" customFormat="1">
      <c r="B801" s="12"/>
      <c r="C801" s="5"/>
      <c r="D801" s="5"/>
      <c r="E801" s="5"/>
      <c r="F801" s="5"/>
      <c r="G801" s="5"/>
      <c r="H801" s="24"/>
      <c r="I801" s="5"/>
      <c r="K801" s="5"/>
      <c r="L801" s="5"/>
      <c r="M801" s="5"/>
      <c r="N801" s="16"/>
      <c r="O801" s="16"/>
      <c r="P801" s="110"/>
    </row>
    <row r="802" spans="2:16" s="105" customFormat="1">
      <c r="B802" s="12"/>
      <c r="C802" s="5"/>
      <c r="D802" s="5"/>
      <c r="E802" s="5"/>
      <c r="F802" s="5"/>
      <c r="G802" s="5"/>
      <c r="H802" s="24"/>
      <c r="I802" s="5"/>
      <c r="K802" s="5"/>
      <c r="L802" s="5"/>
      <c r="M802" s="5"/>
      <c r="N802" s="16"/>
      <c r="O802" s="16"/>
      <c r="P802" s="110"/>
    </row>
    <row r="803" spans="2:16" s="105" customFormat="1">
      <c r="B803" s="12"/>
      <c r="C803" s="5"/>
      <c r="D803" s="5"/>
      <c r="E803" s="5"/>
      <c r="F803" s="5"/>
      <c r="G803" s="5"/>
      <c r="H803" s="24"/>
      <c r="I803" s="5"/>
      <c r="K803" s="5"/>
      <c r="L803" s="5"/>
      <c r="M803" s="5"/>
      <c r="N803" s="16"/>
      <c r="O803" s="16"/>
      <c r="P803" s="110"/>
    </row>
    <row r="804" spans="2:16" s="105" customFormat="1">
      <c r="B804" s="12"/>
      <c r="C804" s="5"/>
      <c r="D804" s="5"/>
      <c r="E804" s="5"/>
      <c r="F804" s="5"/>
      <c r="G804" s="5"/>
      <c r="H804" s="24"/>
      <c r="I804" s="5"/>
      <c r="K804" s="5"/>
      <c r="L804" s="5"/>
      <c r="M804" s="5"/>
      <c r="N804" s="16"/>
      <c r="O804" s="16"/>
      <c r="P804" s="110"/>
    </row>
    <row r="805" spans="2:16" s="105" customFormat="1">
      <c r="B805" s="12"/>
      <c r="C805" s="5"/>
      <c r="D805" s="5"/>
      <c r="E805" s="5"/>
      <c r="F805" s="5"/>
      <c r="G805" s="5"/>
      <c r="H805" s="24"/>
      <c r="I805" s="5"/>
      <c r="K805" s="5"/>
      <c r="L805" s="5"/>
      <c r="M805" s="5"/>
      <c r="N805" s="16"/>
      <c r="O805" s="16"/>
      <c r="P805" s="110"/>
    </row>
    <row r="806" spans="2:16" s="105" customFormat="1">
      <c r="B806" s="12"/>
      <c r="C806" s="5"/>
      <c r="D806" s="5"/>
      <c r="E806" s="5"/>
      <c r="F806" s="5"/>
      <c r="G806" s="5"/>
      <c r="H806" s="24"/>
      <c r="I806" s="5"/>
      <c r="K806" s="5"/>
      <c r="L806" s="5"/>
      <c r="M806" s="5"/>
      <c r="N806" s="16"/>
      <c r="O806" s="16"/>
      <c r="P806" s="110"/>
    </row>
    <row r="807" spans="2:16" s="105" customFormat="1">
      <c r="B807" s="12"/>
      <c r="C807" s="5"/>
      <c r="D807" s="5"/>
      <c r="E807" s="5"/>
      <c r="F807" s="5"/>
      <c r="G807" s="5"/>
      <c r="H807" s="24"/>
      <c r="I807" s="5"/>
      <c r="K807" s="5"/>
      <c r="L807" s="5"/>
      <c r="M807" s="5"/>
      <c r="N807" s="16"/>
      <c r="O807" s="16"/>
      <c r="P807" s="110"/>
    </row>
    <row r="808" spans="2:16" s="105" customFormat="1">
      <c r="B808" s="12"/>
      <c r="C808" s="5"/>
      <c r="D808" s="5"/>
      <c r="E808" s="5"/>
      <c r="F808" s="5"/>
      <c r="G808" s="5"/>
      <c r="H808" s="24"/>
      <c r="I808" s="5"/>
      <c r="K808" s="5"/>
      <c r="L808" s="5"/>
      <c r="M808" s="5"/>
      <c r="N808" s="16"/>
      <c r="O808" s="16"/>
      <c r="P808" s="110"/>
    </row>
    <row r="809" spans="2:16" s="105" customFormat="1">
      <c r="B809" s="12"/>
      <c r="C809" s="5"/>
      <c r="D809" s="5"/>
      <c r="E809" s="5"/>
      <c r="F809" s="5"/>
      <c r="G809" s="5"/>
      <c r="H809" s="24"/>
      <c r="I809" s="5"/>
      <c r="K809" s="5"/>
      <c r="L809" s="5"/>
      <c r="M809" s="5"/>
      <c r="N809" s="16"/>
      <c r="O809" s="16"/>
      <c r="P809" s="110"/>
    </row>
    <row r="810" spans="2:16" s="105" customFormat="1">
      <c r="B810" s="12"/>
      <c r="C810" s="5"/>
      <c r="D810" s="5"/>
      <c r="E810" s="5"/>
      <c r="F810" s="5"/>
      <c r="G810" s="5"/>
      <c r="H810" s="24"/>
      <c r="I810" s="5"/>
      <c r="K810" s="5"/>
      <c r="L810" s="5"/>
      <c r="M810" s="5"/>
      <c r="N810" s="16"/>
      <c r="O810" s="16"/>
      <c r="P810" s="110"/>
    </row>
    <row r="811" spans="2:16" s="105" customFormat="1">
      <c r="B811" s="12"/>
      <c r="C811" s="5"/>
      <c r="D811" s="5"/>
      <c r="E811" s="5"/>
      <c r="F811" s="5"/>
      <c r="G811" s="5"/>
      <c r="H811" s="24"/>
      <c r="I811" s="5"/>
      <c r="K811" s="5"/>
      <c r="L811" s="5"/>
      <c r="M811" s="5"/>
      <c r="N811" s="16"/>
      <c r="O811" s="16"/>
      <c r="P811" s="110"/>
    </row>
    <row r="812" spans="2:16" s="105" customFormat="1">
      <c r="B812" s="12"/>
      <c r="C812" s="5"/>
      <c r="D812" s="5"/>
      <c r="E812" s="5"/>
      <c r="F812" s="5"/>
      <c r="G812" s="5"/>
      <c r="H812" s="24"/>
      <c r="I812" s="5"/>
      <c r="K812" s="5"/>
      <c r="L812" s="5"/>
      <c r="M812" s="5"/>
      <c r="N812" s="16"/>
      <c r="O812" s="16"/>
      <c r="P812" s="110"/>
    </row>
    <row r="813" spans="2:16" s="105" customFormat="1">
      <c r="B813" s="12"/>
      <c r="C813" s="5"/>
      <c r="D813" s="5"/>
      <c r="E813" s="5"/>
      <c r="F813" s="5"/>
      <c r="G813" s="5"/>
      <c r="H813" s="24"/>
      <c r="I813" s="5"/>
      <c r="K813" s="5"/>
      <c r="L813" s="5"/>
      <c r="M813" s="5"/>
      <c r="N813" s="16"/>
      <c r="O813" s="16"/>
      <c r="P813" s="110"/>
    </row>
    <row r="814" spans="2:16" s="105" customFormat="1">
      <c r="B814" s="12"/>
      <c r="C814" s="5"/>
      <c r="D814" s="5"/>
      <c r="E814" s="5"/>
      <c r="F814" s="5"/>
      <c r="G814" s="5"/>
      <c r="H814" s="24"/>
      <c r="I814" s="5"/>
      <c r="K814" s="5"/>
      <c r="L814" s="5"/>
      <c r="M814" s="5"/>
      <c r="N814" s="16"/>
      <c r="O814" s="16"/>
      <c r="P814" s="110"/>
    </row>
    <row r="815" spans="2:16" s="105" customFormat="1">
      <c r="B815" s="12"/>
      <c r="C815" s="5"/>
      <c r="D815" s="5"/>
      <c r="E815" s="5"/>
      <c r="F815" s="5"/>
      <c r="G815" s="5"/>
      <c r="H815" s="24"/>
      <c r="I815" s="5"/>
      <c r="K815" s="5"/>
      <c r="L815" s="5"/>
      <c r="M815" s="5"/>
      <c r="N815" s="16"/>
      <c r="O815" s="16"/>
      <c r="P815" s="110"/>
    </row>
    <row r="816" spans="2:16" s="105" customFormat="1">
      <c r="B816" s="12"/>
      <c r="C816" s="5"/>
      <c r="D816" s="5"/>
      <c r="E816" s="5"/>
      <c r="F816" s="5"/>
      <c r="G816" s="5"/>
      <c r="H816" s="24"/>
      <c r="I816" s="5"/>
      <c r="K816" s="5"/>
      <c r="L816" s="5"/>
      <c r="M816" s="5"/>
      <c r="N816" s="16"/>
      <c r="O816" s="16"/>
      <c r="P816" s="110"/>
    </row>
    <row r="817" spans="2:16" s="105" customFormat="1">
      <c r="B817" s="12"/>
      <c r="C817" s="5"/>
      <c r="D817" s="5"/>
      <c r="E817" s="5"/>
      <c r="F817" s="5"/>
      <c r="G817" s="5"/>
      <c r="H817" s="24"/>
      <c r="I817" s="5"/>
      <c r="K817" s="5"/>
      <c r="L817" s="5"/>
      <c r="M817" s="5"/>
      <c r="N817" s="16"/>
      <c r="O817" s="16"/>
      <c r="P817" s="110"/>
    </row>
    <row r="818" spans="2:16" s="105" customFormat="1">
      <c r="B818" s="12"/>
      <c r="C818" s="5"/>
      <c r="D818" s="5"/>
      <c r="E818" s="5"/>
      <c r="F818" s="5"/>
      <c r="G818" s="5"/>
      <c r="H818" s="24"/>
      <c r="I818" s="5"/>
      <c r="K818" s="5"/>
      <c r="L818" s="5"/>
      <c r="M818" s="5"/>
      <c r="N818" s="16"/>
      <c r="O818" s="16"/>
      <c r="P818" s="110"/>
    </row>
    <row r="819" spans="2:16" s="105" customFormat="1">
      <c r="B819" s="12"/>
      <c r="C819" s="5"/>
      <c r="D819" s="5"/>
      <c r="E819" s="5"/>
      <c r="F819" s="5"/>
      <c r="G819" s="5"/>
      <c r="H819" s="24"/>
      <c r="I819" s="5"/>
      <c r="K819" s="5"/>
      <c r="L819" s="5"/>
      <c r="M819" s="5"/>
      <c r="N819" s="16"/>
      <c r="O819" s="16"/>
      <c r="P819" s="110"/>
    </row>
    <row r="820" spans="2:16" s="105" customFormat="1">
      <c r="B820" s="12"/>
      <c r="C820" s="5"/>
      <c r="D820" s="5"/>
      <c r="E820" s="5"/>
      <c r="F820" s="5"/>
      <c r="G820" s="5"/>
      <c r="H820" s="24"/>
      <c r="I820" s="5"/>
      <c r="K820" s="5"/>
      <c r="L820" s="5"/>
      <c r="M820" s="5"/>
      <c r="N820" s="16"/>
      <c r="O820" s="16"/>
      <c r="P820" s="110"/>
    </row>
    <row r="821" spans="2:16" s="105" customFormat="1">
      <c r="B821" s="12"/>
      <c r="C821" s="5"/>
      <c r="D821" s="5"/>
      <c r="E821" s="5"/>
      <c r="F821" s="5"/>
      <c r="G821" s="5"/>
      <c r="H821" s="24"/>
      <c r="I821" s="5"/>
      <c r="K821" s="5"/>
      <c r="L821" s="5"/>
      <c r="M821" s="5"/>
      <c r="N821" s="16"/>
      <c r="O821" s="16"/>
      <c r="P821" s="110"/>
    </row>
    <row r="822" spans="2:16" s="105" customFormat="1">
      <c r="B822" s="12"/>
      <c r="C822" s="5"/>
      <c r="D822" s="5"/>
      <c r="E822" s="5"/>
      <c r="F822" s="5"/>
      <c r="G822" s="5"/>
      <c r="H822" s="24"/>
      <c r="I822" s="5"/>
      <c r="K822" s="5"/>
      <c r="L822" s="5"/>
      <c r="M822" s="5"/>
      <c r="N822" s="16"/>
      <c r="O822" s="16"/>
      <c r="P822" s="110"/>
    </row>
    <row r="823" spans="2:16" s="105" customFormat="1">
      <c r="B823" s="12"/>
      <c r="C823" s="5"/>
      <c r="D823" s="5"/>
      <c r="E823" s="5"/>
      <c r="F823" s="5"/>
      <c r="G823" s="5"/>
      <c r="H823" s="24"/>
      <c r="I823" s="5"/>
      <c r="K823" s="5"/>
      <c r="L823" s="5"/>
      <c r="M823" s="5"/>
      <c r="N823" s="16"/>
      <c r="O823" s="16"/>
      <c r="P823" s="110"/>
    </row>
    <row r="824" spans="2:16" s="105" customFormat="1">
      <c r="B824" s="12"/>
      <c r="C824" s="5"/>
      <c r="D824" s="5"/>
      <c r="E824" s="5"/>
      <c r="F824" s="5"/>
      <c r="G824" s="5"/>
      <c r="H824" s="24"/>
      <c r="I824" s="5"/>
      <c r="K824" s="5"/>
      <c r="L824" s="5"/>
      <c r="M824" s="5"/>
      <c r="N824" s="16"/>
      <c r="O824" s="16"/>
      <c r="P824" s="110"/>
    </row>
    <row r="825" spans="2:16" s="105" customFormat="1">
      <c r="B825" s="12"/>
      <c r="C825" s="5"/>
      <c r="D825" s="5"/>
      <c r="E825" s="5"/>
      <c r="F825" s="5"/>
      <c r="G825" s="5"/>
      <c r="H825" s="24"/>
      <c r="I825" s="5"/>
      <c r="K825" s="5"/>
      <c r="L825" s="5"/>
      <c r="M825" s="5"/>
      <c r="N825" s="16"/>
      <c r="O825" s="16"/>
      <c r="P825" s="110"/>
    </row>
    <row r="826" spans="2:16" s="24" customFormat="1">
      <c r="B826" s="12"/>
      <c r="C826" s="5"/>
      <c r="D826" s="5"/>
      <c r="E826" s="5"/>
      <c r="F826" s="5"/>
      <c r="G826" s="5"/>
      <c r="I826" s="5"/>
      <c r="J826" s="105"/>
      <c r="K826" s="5"/>
      <c r="L826" s="5"/>
      <c r="M826" s="5"/>
      <c r="N826" s="16"/>
      <c r="O826" s="16"/>
      <c r="P826" s="77"/>
    </row>
    <row r="827" spans="2:16" s="24" customFormat="1">
      <c r="B827" s="12"/>
      <c r="C827" s="5"/>
      <c r="D827" s="5"/>
      <c r="E827" s="5"/>
      <c r="F827" s="5"/>
      <c r="G827" s="5"/>
      <c r="I827" s="5"/>
      <c r="J827" s="105"/>
      <c r="K827" s="5"/>
      <c r="L827" s="5"/>
      <c r="M827" s="5"/>
      <c r="N827" s="16"/>
      <c r="O827" s="16"/>
      <c r="P827" s="77"/>
    </row>
    <row r="828" spans="2:16" s="24" customFormat="1">
      <c r="B828" s="12"/>
      <c r="C828" s="5"/>
      <c r="D828" s="5"/>
      <c r="E828" s="5"/>
      <c r="F828" s="5"/>
      <c r="G828" s="5"/>
      <c r="I828" s="5"/>
      <c r="J828" s="105"/>
      <c r="K828" s="5"/>
      <c r="L828" s="5"/>
      <c r="M828" s="5"/>
      <c r="N828" s="16"/>
      <c r="O828" s="16"/>
      <c r="P828" s="77"/>
    </row>
    <row r="829" spans="2:16" s="24" customFormat="1">
      <c r="B829" s="12"/>
      <c r="C829" s="5"/>
      <c r="D829" s="5"/>
      <c r="E829" s="5"/>
      <c r="F829" s="5"/>
      <c r="G829" s="5"/>
      <c r="I829" s="5"/>
      <c r="J829" s="105"/>
      <c r="K829" s="5"/>
      <c r="L829" s="5"/>
      <c r="M829" s="5"/>
      <c r="N829" s="16"/>
      <c r="O829" s="16"/>
      <c r="P829" s="77"/>
    </row>
    <row r="830" spans="2:16" s="24" customFormat="1">
      <c r="B830" s="12"/>
      <c r="C830" s="5"/>
      <c r="D830" s="5"/>
      <c r="E830" s="5"/>
      <c r="F830" s="5"/>
      <c r="G830" s="5"/>
      <c r="I830" s="5"/>
      <c r="J830" s="105"/>
      <c r="K830" s="5"/>
      <c r="L830" s="5"/>
      <c r="M830" s="5"/>
      <c r="N830" s="16"/>
      <c r="O830" s="16"/>
      <c r="P830" s="77"/>
    </row>
    <row r="831" spans="2:16" s="24" customFormat="1">
      <c r="B831" s="12"/>
      <c r="C831" s="5"/>
      <c r="D831" s="5"/>
      <c r="E831" s="5"/>
      <c r="F831" s="5"/>
      <c r="G831" s="5"/>
      <c r="I831" s="5"/>
      <c r="J831" s="105"/>
      <c r="K831" s="5"/>
      <c r="L831" s="5"/>
      <c r="M831" s="5"/>
      <c r="N831" s="16"/>
      <c r="O831" s="16"/>
      <c r="P831" s="77"/>
    </row>
    <row r="832" spans="2:16" s="24" customFormat="1">
      <c r="B832" s="12"/>
      <c r="C832" s="5"/>
      <c r="D832" s="5"/>
      <c r="E832" s="5"/>
      <c r="F832" s="5"/>
      <c r="G832" s="5"/>
      <c r="I832" s="5"/>
      <c r="J832" s="105"/>
      <c r="K832" s="5"/>
      <c r="L832" s="5"/>
      <c r="M832" s="5"/>
      <c r="N832" s="16"/>
      <c r="O832" s="16"/>
      <c r="P832" s="77"/>
    </row>
    <row r="833" spans="2:16" s="24" customFormat="1">
      <c r="B833" s="12"/>
      <c r="C833" s="5"/>
      <c r="D833" s="5"/>
      <c r="E833" s="5"/>
      <c r="F833" s="5"/>
      <c r="G833" s="5"/>
      <c r="I833" s="5"/>
      <c r="J833" s="105"/>
      <c r="K833" s="5"/>
      <c r="L833" s="5"/>
      <c r="M833" s="5"/>
      <c r="N833" s="16"/>
      <c r="O833" s="16"/>
      <c r="P833" s="77"/>
    </row>
    <row r="834" spans="2:16" s="24" customFormat="1">
      <c r="B834" s="12"/>
      <c r="C834" s="5"/>
      <c r="D834" s="5"/>
      <c r="E834" s="5"/>
      <c r="F834" s="5"/>
      <c r="G834" s="5"/>
      <c r="I834" s="5"/>
      <c r="J834" s="105"/>
      <c r="K834" s="5"/>
      <c r="L834" s="5"/>
      <c r="M834" s="5"/>
      <c r="N834" s="16"/>
      <c r="O834" s="16"/>
      <c r="P834" s="77"/>
    </row>
    <row r="835" spans="2:16" s="24" customFormat="1">
      <c r="B835" s="12"/>
      <c r="C835" s="5"/>
      <c r="D835" s="5"/>
      <c r="E835" s="5"/>
      <c r="F835" s="5"/>
      <c r="G835" s="5"/>
      <c r="I835" s="5"/>
      <c r="J835" s="105"/>
      <c r="K835" s="5"/>
      <c r="L835" s="5"/>
      <c r="M835" s="5"/>
      <c r="N835" s="16"/>
      <c r="O835" s="16"/>
      <c r="P835" s="77"/>
    </row>
    <row r="836" spans="2:16" s="9" customFormat="1">
      <c r="B836" s="12"/>
      <c r="C836" s="5"/>
      <c r="D836" s="5"/>
      <c r="E836" s="5"/>
      <c r="F836" s="5"/>
      <c r="G836" s="5"/>
      <c r="H836" s="24"/>
      <c r="I836" s="5"/>
      <c r="J836" s="105"/>
      <c r="K836" s="5"/>
      <c r="L836" s="5"/>
      <c r="M836" s="5"/>
      <c r="N836" s="16"/>
      <c r="O836" s="16"/>
      <c r="P836" s="75"/>
    </row>
    <row r="837" spans="2:16" s="9" customFormat="1">
      <c r="B837" s="12"/>
      <c r="C837" s="5"/>
      <c r="D837" s="5"/>
      <c r="E837" s="5"/>
      <c r="F837" s="5"/>
      <c r="G837" s="5"/>
      <c r="H837" s="24"/>
      <c r="I837" s="5"/>
      <c r="J837" s="105"/>
      <c r="K837" s="5"/>
      <c r="L837" s="5"/>
      <c r="M837" s="5"/>
      <c r="N837" s="16"/>
      <c r="O837" s="16"/>
      <c r="P837" s="77"/>
    </row>
    <row r="838" spans="2:16" s="9" customFormat="1">
      <c r="B838" s="12"/>
      <c r="C838" s="5"/>
      <c r="D838" s="5"/>
      <c r="E838" s="5"/>
      <c r="F838" s="5"/>
      <c r="G838" s="5"/>
      <c r="H838" s="24"/>
      <c r="I838" s="5"/>
      <c r="J838" s="105"/>
      <c r="K838" s="5"/>
      <c r="L838" s="5"/>
      <c r="M838" s="5"/>
      <c r="N838" s="16"/>
      <c r="O838" s="16"/>
      <c r="P838" s="77"/>
    </row>
    <row r="839" spans="2:16" s="9" customFormat="1">
      <c r="B839" s="12"/>
      <c r="C839" s="5"/>
      <c r="D839" s="5"/>
      <c r="E839" s="5"/>
      <c r="F839" s="5"/>
      <c r="G839" s="5"/>
      <c r="H839" s="24"/>
      <c r="I839" s="5"/>
      <c r="J839" s="105"/>
      <c r="K839" s="5"/>
      <c r="L839" s="5"/>
      <c r="M839" s="5"/>
      <c r="N839" s="16"/>
      <c r="O839" s="16"/>
      <c r="P839" s="77"/>
    </row>
    <row r="840" spans="2:16" s="9" customFormat="1">
      <c r="B840" s="12"/>
      <c r="C840" s="5"/>
      <c r="D840" s="5"/>
      <c r="E840" s="5"/>
      <c r="F840" s="5"/>
      <c r="G840" s="5"/>
      <c r="H840" s="24"/>
      <c r="I840" s="5"/>
      <c r="J840" s="105"/>
      <c r="K840" s="5"/>
      <c r="L840" s="5"/>
      <c r="M840" s="5"/>
      <c r="N840" s="16"/>
      <c r="O840" s="16"/>
      <c r="P840" s="77"/>
    </row>
    <row r="841" spans="2:16" s="9" customFormat="1">
      <c r="B841" s="12"/>
      <c r="C841" s="5"/>
      <c r="D841" s="5"/>
      <c r="E841" s="5"/>
      <c r="F841" s="5"/>
      <c r="G841" s="5"/>
      <c r="H841" s="24"/>
      <c r="I841" s="5"/>
      <c r="J841" s="105"/>
      <c r="K841" s="5"/>
      <c r="L841" s="5"/>
      <c r="M841" s="5"/>
      <c r="N841" s="16"/>
      <c r="O841" s="16"/>
      <c r="P841" s="77"/>
    </row>
    <row r="842" spans="2:16" s="9" customFormat="1">
      <c r="B842" s="12"/>
      <c r="C842" s="5"/>
      <c r="D842" s="5"/>
      <c r="E842" s="5"/>
      <c r="F842" s="5"/>
      <c r="G842" s="5"/>
      <c r="H842" s="24"/>
      <c r="I842" s="5"/>
      <c r="J842" s="105"/>
      <c r="K842" s="5"/>
      <c r="L842" s="5"/>
      <c r="M842" s="5"/>
      <c r="N842" s="16"/>
      <c r="O842" s="16"/>
      <c r="P842" s="77"/>
    </row>
    <row r="843" spans="2:16" s="9" customFormat="1">
      <c r="B843" s="12"/>
      <c r="C843" s="5"/>
      <c r="D843" s="5"/>
      <c r="E843" s="5"/>
      <c r="F843" s="5"/>
      <c r="G843" s="5"/>
      <c r="H843" s="24"/>
      <c r="I843" s="5"/>
      <c r="J843" s="105"/>
      <c r="K843" s="5"/>
      <c r="L843" s="5"/>
      <c r="M843" s="5"/>
      <c r="N843" s="16"/>
      <c r="O843" s="16"/>
      <c r="P843" s="77"/>
    </row>
    <row r="844" spans="2:16" s="9" customFormat="1">
      <c r="B844" s="12"/>
      <c r="C844" s="5"/>
      <c r="D844" s="5"/>
      <c r="E844" s="5"/>
      <c r="F844" s="5"/>
      <c r="G844" s="5"/>
      <c r="H844" s="24"/>
      <c r="I844" s="5"/>
      <c r="J844" s="105"/>
      <c r="K844" s="5"/>
      <c r="L844" s="5"/>
      <c r="M844" s="5"/>
      <c r="N844" s="16"/>
      <c r="O844" s="16"/>
      <c r="P844" s="77"/>
    </row>
    <row r="845" spans="2:16" s="9" customFormat="1">
      <c r="B845" s="12"/>
      <c r="C845" s="5"/>
      <c r="D845" s="5"/>
      <c r="E845" s="5"/>
      <c r="F845" s="5"/>
      <c r="G845" s="5"/>
      <c r="H845" s="24"/>
      <c r="I845" s="5"/>
      <c r="J845" s="105"/>
      <c r="K845" s="5"/>
      <c r="L845" s="5"/>
      <c r="M845" s="5"/>
      <c r="N845" s="16"/>
      <c r="O845" s="16"/>
      <c r="P845" s="110"/>
    </row>
    <row r="846" spans="2:16" s="9" customFormat="1">
      <c r="B846" s="12"/>
      <c r="C846" s="5"/>
      <c r="D846" s="5"/>
      <c r="E846" s="5"/>
      <c r="F846" s="5"/>
      <c r="G846" s="5"/>
      <c r="H846" s="24"/>
      <c r="I846" s="5"/>
      <c r="J846" s="105"/>
      <c r="K846" s="5"/>
      <c r="L846" s="5"/>
      <c r="M846" s="5"/>
      <c r="N846" s="16"/>
      <c r="O846" s="16"/>
      <c r="P846" s="77"/>
    </row>
    <row r="847" spans="2:16" s="9" customFormat="1">
      <c r="B847" s="12"/>
      <c r="C847" s="5"/>
      <c r="D847" s="5"/>
      <c r="E847" s="5"/>
      <c r="F847" s="5"/>
      <c r="G847" s="5"/>
      <c r="H847" s="24"/>
      <c r="I847" s="5"/>
      <c r="J847" s="105"/>
      <c r="K847" s="5"/>
      <c r="L847" s="5"/>
      <c r="M847" s="5"/>
      <c r="N847" s="16"/>
      <c r="O847" s="16"/>
      <c r="P847" s="77"/>
    </row>
    <row r="848" spans="2:16" s="9" customFormat="1">
      <c r="B848" s="12"/>
      <c r="C848" s="5"/>
      <c r="D848" s="5"/>
      <c r="E848" s="5"/>
      <c r="F848" s="5"/>
      <c r="G848" s="5"/>
      <c r="H848" s="24"/>
      <c r="I848" s="5"/>
      <c r="J848" s="105"/>
      <c r="K848" s="5"/>
      <c r="L848" s="5"/>
      <c r="M848" s="5"/>
      <c r="N848" s="16"/>
      <c r="O848" s="16"/>
      <c r="P848" s="77"/>
    </row>
    <row r="849" spans="2:16" s="9" customFormat="1">
      <c r="B849" s="12"/>
      <c r="C849" s="5"/>
      <c r="D849" s="5"/>
      <c r="E849" s="5"/>
      <c r="F849" s="5"/>
      <c r="G849" s="5"/>
      <c r="H849" s="24"/>
      <c r="I849" s="5"/>
      <c r="J849" s="105"/>
      <c r="K849" s="5"/>
      <c r="L849" s="5"/>
      <c r="M849" s="5"/>
      <c r="N849" s="16"/>
      <c r="O849" s="16"/>
      <c r="P849" s="77"/>
    </row>
    <row r="850" spans="2:16" s="9" customFormat="1">
      <c r="B850" s="12"/>
      <c r="C850" s="5"/>
      <c r="D850" s="5"/>
      <c r="E850" s="5"/>
      <c r="F850" s="5"/>
      <c r="G850" s="5"/>
      <c r="H850" s="24"/>
      <c r="I850" s="5"/>
      <c r="J850" s="105"/>
      <c r="K850" s="5"/>
      <c r="L850" s="5"/>
      <c r="M850" s="5"/>
      <c r="N850" s="16"/>
      <c r="O850" s="16"/>
      <c r="P850" s="77"/>
    </row>
    <row r="851" spans="2:16" s="9" customFormat="1">
      <c r="B851" s="12"/>
      <c r="C851" s="5"/>
      <c r="D851" s="5"/>
      <c r="E851" s="5"/>
      <c r="F851" s="5"/>
      <c r="G851" s="5"/>
      <c r="H851" s="24"/>
      <c r="I851" s="5"/>
      <c r="J851" s="105"/>
      <c r="K851" s="5"/>
      <c r="L851" s="5"/>
      <c r="M851" s="5"/>
      <c r="N851" s="16"/>
      <c r="O851" s="16"/>
      <c r="P851" s="77"/>
    </row>
    <row r="852" spans="2:16" s="9" customFormat="1">
      <c r="B852" s="12"/>
      <c r="C852" s="5"/>
      <c r="D852" s="5"/>
      <c r="E852" s="5"/>
      <c r="F852" s="5"/>
      <c r="G852" s="5"/>
      <c r="H852" s="24"/>
      <c r="I852" s="5"/>
      <c r="J852" s="105"/>
      <c r="K852" s="5"/>
      <c r="L852" s="5"/>
      <c r="M852" s="5"/>
      <c r="N852" s="16"/>
      <c r="O852" s="16"/>
      <c r="P852" s="110"/>
    </row>
    <row r="853" spans="2:16" s="9" customFormat="1">
      <c r="B853" s="12"/>
      <c r="C853" s="5"/>
      <c r="D853" s="5"/>
      <c r="E853" s="5"/>
      <c r="F853" s="5"/>
      <c r="G853" s="5"/>
      <c r="H853" s="24"/>
      <c r="I853" s="5"/>
      <c r="J853" s="105"/>
      <c r="K853" s="5"/>
      <c r="L853" s="5"/>
      <c r="M853" s="5"/>
      <c r="N853" s="16"/>
      <c r="O853" s="16"/>
      <c r="P853" s="75"/>
    </row>
    <row r="854" spans="2:16" s="9" customFormat="1">
      <c r="B854" s="12"/>
      <c r="C854" s="5"/>
      <c r="D854" s="5"/>
      <c r="E854" s="5"/>
      <c r="F854" s="5"/>
      <c r="G854" s="5"/>
      <c r="H854" s="24"/>
      <c r="I854" s="5"/>
      <c r="J854" s="105"/>
      <c r="K854" s="5"/>
      <c r="L854" s="5"/>
      <c r="M854" s="5"/>
      <c r="N854" s="16"/>
      <c r="O854" s="16"/>
      <c r="P854" s="75"/>
    </row>
    <row r="855" spans="2:16" s="9" customFormat="1">
      <c r="B855" s="12"/>
      <c r="C855" s="5"/>
      <c r="D855" s="5"/>
      <c r="E855" s="5"/>
      <c r="F855" s="5"/>
      <c r="G855" s="5"/>
      <c r="H855" s="24"/>
      <c r="I855" s="5"/>
      <c r="J855" s="105"/>
      <c r="K855" s="5"/>
      <c r="L855" s="5"/>
      <c r="M855" s="5"/>
      <c r="N855" s="16"/>
      <c r="O855" s="16"/>
      <c r="P855" s="75"/>
    </row>
    <row r="856" spans="2:16" s="9" customFormat="1">
      <c r="B856" s="12"/>
      <c r="C856" s="5"/>
      <c r="D856" s="5"/>
      <c r="E856" s="5"/>
      <c r="F856" s="5"/>
      <c r="G856" s="5"/>
      <c r="H856" s="24"/>
      <c r="I856" s="5"/>
      <c r="J856" s="105"/>
      <c r="K856" s="5"/>
      <c r="L856" s="5"/>
      <c r="M856" s="5"/>
      <c r="N856" s="16"/>
      <c r="O856" s="16"/>
      <c r="P856" s="75"/>
    </row>
    <row r="857" spans="2:16" s="9" customFormat="1">
      <c r="B857" s="12"/>
      <c r="C857" s="5"/>
      <c r="D857" s="5"/>
      <c r="E857" s="5"/>
      <c r="F857" s="5"/>
      <c r="G857" s="5"/>
      <c r="H857" s="24"/>
      <c r="I857" s="5"/>
      <c r="J857" s="105"/>
      <c r="K857" s="5"/>
      <c r="L857" s="5"/>
      <c r="M857" s="5"/>
      <c r="N857" s="16"/>
      <c r="O857" s="16"/>
      <c r="P857" s="75"/>
    </row>
    <row r="858" spans="2:16" s="9" customFormat="1">
      <c r="B858" s="12"/>
      <c r="C858" s="5"/>
      <c r="D858" s="5"/>
      <c r="E858" s="5"/>
      <c r="F858" s="5"/>
      <c r="G858" s="5"/>
      <c r="H858" s="24"/>
      <c r="I858" s="5"/>
      <c r="J858" s="105"/>
      <c r="K858" s="5"/>
      <c r="L858" s="5"/>
      <c r="M858" s="5"/>
      <c r="N858" s="16"/>
      <c r="O858" s="16"/>
      <c r="P858" s="75"/>
    </row>
    <row r="859" spans="2:16" s="9" customFormat="1">
      <c r="B859" s="12"/>
      <c r="C859" s="5"/>
      <c r="D859" s="5"/>
      <c r="E859" s="5"/>
      <c r="F859" s="5"/>
      <c r="G859" s="5"/>
      <c r="H859" s="24"/>
      <c r="I859" s="5"/>
      <c r="J859" s="105"/>
      <c r="K859" s="5"/>
      <c r="L859" s="5"/>
      <c r="M859" s="5"/>
      <c r="N859" s="16"/>
      <c r="O859" s="16"/>
      <c r="P859" s="75"/>
    </row>
    <row r="860" spans="2:16" s="9" customFormat="1">
      <c r="B860" s="12"/>
      <c r="C860" s="5"/>
      <c r="D860" s="5"/>
      <c r="E860" s="5"/>
      <c r="F860" s="5"/>
      <c r="G860" s="5"/>
      <c r="H860" s="24"/>
      <c r="I860" s="5"/>
      <c r="J860" s="105"/>
      <c r="K860" s="5"/>
      <c r="L860" s="5"/>
      <c r="M860" s="5"/>
      <c r="N860" s="16"/>
      <c r="O860" s="16"/>
      <c r="P860" s="75"/>
    </row>
    <row r="861" spans="2:16" s="9" customFormat="1">
      <c r="B861" s="12"/>
      <c r="C861" s="5"/>
      <c r="D861" s="5"/>
      <c r="E861" s="5"/>
      <c r="F861" s="5"/>
      <c r="G861" s="5"/>
      <c r="H861" s="24"/>
      <c r="I861" s="5"/>
      <c r="J861" s="105"/>
      <c r="K861" s="5"/>
      <c r="L861" s="5"/>
      <c r="M861" s="5"/>
      <c r="N861" s="16"/>
      <c r="O861" s="16"/>
      <c r="P861" s="75"/>
    </row>
    <row r="862" spans="2:16" s="9" customFormat="1">
      <c r="B862" s="12"/>
      <c r="C862" s="5"/>
      <c r="D862" s="5"/>
      <c r="E862" s="5"/>
      <c r="F862" s="5"/>
      <c r="G862" s="5"/>
      <c r="H862" s="24"/>
      <c r="I862" s="5"/>
      <c r="J862" s="105"/>
      <c r="K862" s="5"/>
      <c r="L862" s="5"/>
      <c r="M862" s="5"/>
      <c r="N862" s="16"/>
      <c r="O862" s="16"/>
      <c r="P862" s="75"/>
    </row>
    <row r="863" spans="2:16" s="9" customFormat="1">
      <c r="B863" s="12"/>
      <c r="C863" s="5"/>
      <c r="D863" s="5"/>
      <c r="E863" s="5"/>
      <c r="F863" s="5"/>
      <c r="G863" s="5"/>
      <c r="H863" s="24"/>
      <c r="I863" s="5"/>
      <c r="J863" s="105"/>
      <c r="K863" s="5"/>
      <c r="L863" s="5"/>
      <c r="M863" s="5"/>
      <c r="N863" s="16"/>
      <c r="O863" s="16"/>
      <c r="P863" s="77"/>
    </row>
    <row r="864" spans="2:16" s="9" customFormat="1">
      <c r="B864" s="12"/>
      <c r="C864" s="5"/>
      <c r="D864" s="5"/>
      <c r="E864" s="5"/>
      <c r="F864" s="5"/>
      <c r="G864" s="5"/>
      <c r="H864" s="24"/>
      <c r="I864" s="5"/>
      <c r="J864" s="105"/>
      <c r="K864" s="5"/>
      <c r="L864" s="5"/>
      <c r="M864" s="5"/>
      <c r="N864" s="16"/>
      <c r="O864" s="16"/>
      <c r="P864" s="75"/>
    </row>
    <row r="865" spans="2:16">
      <c r="P865" s="77"/>
    </row>
    <row r="866" spans="2:16">
      <c r="P866" s="77"/>
    </row>
    <row r="867" spans="2:16">
      <c r="P867" s="71"/>
    </row>
    <row r="868" spans="2:16">
      <c r="P868" s="73"/>
    </row>
    <row r="869" spans="2:16">
      <c r="P869" s="77"/>
    </row>
    <row r="870" spans="2:16">
      <c r="P870" s="71"/>
    </row>
    <row r="871" spans="2:16" s="14" customFormat="1">
      <c r="B871" s="12"/>
      <c r="C871" s="5"/>
      <c r="D871" s="5"/>
      <c r="E871" s="5"/>
      <c r="F871" s="5"/>
      <c r="G871" s="5"/>
      <c r="H871" s="24"/>
      <c r="I871" s="5"/>
      <c r="J871" s="105"/>
      <c r="K871" s="5"/>
      <c r="L871" s="5"/>
      <c r="M871" s="5"/>
      <c r="N871" s="16"/>
      <c r="O871" s="16"/>
      <c r="P871" s="75"/>
    </row>
    <row r="872" spans="2:16" s="14" customFormat="1">
      <c r="B872" s="12"/>
      <c r="C872" s="5"/>
      <c r="D872" s="5"/>
      <c r="E872" s="5"/>
      <c r="F872" s="5"/>
      <c r="G872" s="5"/>
      <c r="H872" s="24"/>
      <c r="I872" s="5"/>
      <c r="J872" s="105"/>
      <c r="K872" s="5"/>
      <c r="L872" s="5"/>
      <c r="M872" s="5"/>
      <c r="N872" s="16"/>
      <c r="O872" s="16"/>
      <c r="P872" s="71"/>
    </row>
    <row r="873" spans="2:16" s="14" customFormat="1">
      <c r="B873" s="12"/>
      <c r="C873" s="5"/>
      <c r="D873" s="5"/>
      <c r="E873" s="5"/>
      <c r="F873" s="5"/>
      <c r="G873" s="5"/>
      <c r="H873" s="24"/>
      <c r="I873" s="5"/>
      <c r="J873" s="105"/>
      <c r="K873" s="5"/>
      <c r="L873" s="5"/>
      <c r="M873" s="5"/>
      <c r="N873" s="16"/>
      <c r="O873" s="16"/>
      <c r="P873" s="73"/>
    </row>
    <row r="874" spans="2:16" s="105" customFormat="1">
      <c r="B874" s="12"/>
      <c r="C874" s="5"/>
      <c r="D874" s="5"/>
      <c r="E874" s="5"/>
      <c r="F874" s="5"/>
      <c r="G874" s="5"/>
      <c r="H874" s="24"/>
      <c r="I874" s="5"/>
      <c r="K874" s="5"/>
      <c r="L874" s="5"/>
      <c r="M874" s="5"/>
      <c r="N874" s="16"/>
      <c r="O874" s="16"/>
      <c r="P874" s="109"/>
    </row>
    <row r="875" spans="2:16">
      <c r="P875" s="71"/>
    </row>
    <row r="876" spans="2:16" s="9" customFormat="1">
      <c r="B876" s="12"/>
      <c r="C876" s="5"/>
      <c r="D876" s="5"/>
      <c r="E876" s="5"/>
      <c r="F876" s="5"/>
      <c r="G876" s="5"/>
      <c r="H876" s="24"/>
      <c r="I876" s="5"/>
      <c r="J876" s="105"/>
      <c r="K876" s="5"/>
      <c r="L876" s="5"/>
      <c r="M876" s="5"/>
      <c r="N876" s="16"/>
      <c r="O876" s="16"/>
      <c r="P876" s="75"/>
    </row>
    <row r="877" spans="2:16" s="9" customFormat="1">
      <c r="B877" s="12"/>
      <c r="C877" s="5"/>
      <c r="D877" s="5"/>
      <c r="E877" s="5"/>
      <c r="F877" s="5"/>
      <c r="G877" s="5"/>
      <c r="H877" s="24"/>
      <c r="I877" s="5"/>
      <c r="J877" s="105"/>
      <c r="K877" s="5"/>
      <c r="L877" s="5"/>
      <c r="M877" s="5"/>
      <c r="N877" s="16"/>
      <c r="O877" s="16"/>
      <c r="P877" s="71"/>
    </row>
    <row r="878" spans="2:16" s="9" customFormat="1">
      <c r="B878" s="12"/>
      <c r="C878" s="5"/>
      <c r="D878" s="5"/>
      <c r="E878" s="5"/>
      <c r="F878" s="5"/>
      <c r="G878" s="5"/>
      <c r="H878" s="24"/>
      <c r="I878" s="5"/>
      <c r="J878" s="105"/>
      <c r="K878" s="5"/>
      <c r="L878" s="5"/>
      <c r="M878" s="5"/>
      <c r="N878" s="16"/>
      <c r="O878" s="16"/>
      <c r="P878" s="71"/>
    </row>
    <row r="879" spans="2:16" s="9" customFormat="1">
      <c r="B879" s="12"/>
      <c r="C879" s="5"/>
      <c r="D879" s="5"/>
      <c r="E879" s="5"/>
      <c r="F879" s="5"/>
      <c r="G879" s="5"/>
      <c r="H879" s="24"/>
      <c r="I879" s="5"/>
      <c r="J879" s="105"/>
      <c r="K879" s="5"/>
      <c r="L879" s="5"/>
      <c r="M879" s="5"/>
      <c r="N879" s="16"/>
      <c r="O879" s="16"/>
      <c r="P879" s="71"/>
    </row>
    <row r="880" spans="2:16" s="9" customFormat="1">
      <c r="B880" s="12"/>
      <c r="C880" s="5"/>
      <c r="D880" s="5"/>
      <c r="E880" s="5"/>
      <c r="F880" s="5"/>
      <c r="G880" s="5"/>
      <c r="H880" s="24"/>
      <c r="I880" s="5"/>
      <c r="J880" s="105"/>
      <c r="K880" s="5"/>
      <c r="L880" s="5"/>
      <c r="M880" s="5"/>
      <c r="N880" s="16"/>
      <c r="O880" s="16"/>
      <c r="P880" s="71"/>
    </row>
    <row r="881" spans="2:16" s="18" customFormat="1">
      <c r="B881" s="12"/>
      <c r="C881" s="5"/>
      <c r="D881" s="5"/>
      <c r="E881" s="5"/>
      <c r="F881" s="5"/>
      <c r="G881" s="5"/>
      <c r="H881" s="24"/>
      <c r="I881" s="5"/>
      <c r="J881" s="105"/>
      <c r="K881" s="5"/>
      <c r="L881" s="5"/>
      <c r="M881" s="5"/>
      <c r="N881" s="16"/>
      <c r="O881" s="16"/>
      <c r="P881" s="73"/>
    </row>
    <row r="882" spans="2:16" s="18" customFormat="1">
      <c r="B882" s="12"/>
      <c r="C882" s="5"/>
      <c r="D882" s="5"/>
      <c r="E882" s="5"/>
      <c r="F882" s="5"/>
      <c r="G882" s="5"/>
      <c r="H882" s="24"/>
      <c r="I882" s="5"/>
      <c r="J882" s="105"/>
      <c r="K882" s="5"/>
      <c r="L882" s="5"/>
      <c r="M882" s="5"/>
      <c r="N882" s="16"/>
      <c r="O882" s="16"/>
      <c r="P882" s="71"/>
    </row>
    <row r="883" spans="2:16" s="24" customFormat="1">
      <c r="B883" s="12"/>
      <c r="C883" s="5"/>
      <c r="D883" s="5"/>
      <c r="E883" s="5"/>
      <c r="F883" s="5"/>
      <c r="G883" s="5"/>
      <c r="I883" s="5"/>
      <c r="J883" s="105"/>
      <c r="K883" s="5"/>
      <c r="L883" s="5"/>
      <c r="M883" s="5"/>
      <c r="N883" s="16"/>
      <c r="O883" s="16"/>
      <c r="P883" s="73"/>
    </row>
    <row r="884" spans="2:16" s="24" customFormat="1">
      <c r="B884" s="12"/>
      <c r="C884" s="5"/>
      <c r="D884" s="5"/>
      <c r="E884" s="5"/>
      <c r="F884" s="5"/>
      <c r="G884" s="5"/>
      <c r="I884" s="5"/>
      <c r="J884" s="105"/>
      <c r="K884" s="5"/>
      <c r="L884" s="5"/>
      <c r="M884" s="5"/>
      <c r="N884" s="16"/>
      <c r="O884" s="16"/>
      <c r="P884" s="73"/>
    </row>
    <row r="885" spans="2:16" s="24" customFormat="1">
      <c r="B885" s="12"/>
      <c r="C885" s="5"/>
      <c r="D885" s="5"/>
      <c r="E885" s="5"/>
      <c r="F885" s="5"/>
      <c r="G885" s="5"/>
      <c r="I885" s="5"/>
      <c r="J885" s="105"/>
      <c r="K885" s="5"/>
      <c r="L885" s="5"/>
      <c r="M885" s="5"/>
      <c r="N885" s="16"/>
      <c r="O885" s="16"/>
      <c r="P885" s="73"/>
    </row>
    <row r="886" spans="2:16" s="18" customFormat="1">
      <c r="B886" s="12"/>
      <c r="C886" s="5"/>
      <c r="D886" s="5"/>
      <c r="E886" s="5"/>
      <c r="F886" s="5"/>
      <c r="G886" s="5"/>
      <c r="H886" s="24"/>
      <c r="I886" s="5"/>
      <c r="J886" s="105"/>
      <c r="K886" s="5"/>
      <c r="L886" s="5"/>
      <c r="M886" s="5"/>
      <c r="N886" s="16"/>
      <c r="O886" s="16"/>
      <c r="P886" s="71"/>
    </row>
    <row r="887" spans="2:16" s="24" customFormat="1">
      <c r="B887" s="12"/>
      <c r="C887" s="5"/>
      <c r="D887" s="5"/>
      <c r="E887" s="5"/>
      <c r="F887" s="5"/>
      <c r="G887" s="5"/>
      <c r="I887" s="5"/>
      <c r="J887" s="105"/>
      <c r="K887" s="5"/>
      <c r="L887" s="5"/>
      <c r="M887" s="5"/>
      <c r="N887" s="16"/>
      <c r="O887" s="16"/>
      <c r="P887" s="73"/>
    </row>
    <row r="888" spans="2:16" s="18" customFormat="1">
      <c r="B888" s="12"/>
      <c r="C888" s="5"/>
      <c r="D888" s="5"/>
      <c r="E888" s="5"/>
      <c r="F888" s="5"/>
      <c r="G888" s="5"/>
      <c r="H888" s="24"/>
      <c r="I888" s="5"/>
      <c r="J888" s="105"/>
      <c r="K888" s="5"/>
      <c r="L888" s="5"/>
      <c r="M888" s="5"/>
      <c r="N888" s="16"/>
      <c r="O888" s="16"/>
      <c r="P888" s="73"/>
    </row>
    <row r="889" spans="2:16">
      <c r="P889" s="71"/>
    </row>
    <row r="890" spans="2:16">
      <c r="P890" s="71"/>
    </row>
    <row r="891" spans="2:16">
      <c r="P891" s="75"/>
    </row>
    <row r="892" spans="2:16" s="105" customFormat="1">
      <c r="B892" s="12"/>
      <c r="C892" s="5"/>
      <c r="D892" s="5"/>
      <c r="E892" s="5"/>
      <c r="F892" s="5"/>
      <c r="G892" s="5"/>
      <c r="H892" s="24"/>
      <c r="I892" s="5"/>
      <c r="K892" s="5"/>
      <c r="L892" s="5"/>
      <c r="M892" s="5"/>
      <c r="N892" s="16"/>
      <c r="O892" s="16"/>
      <c r="P892" s="75"/>
    </row>
    <row r="893" spans="2:16" s="24" customFormat="1">
      <c r="B893" s="12"/>
      <c r="C893" s="5"/>
      <c r="D893" s="5"/>
      <c r="E893" s="5"/>
      <c r="F893" s="5"/>
      <c r="G893" s="5"/>
      <c r="I893" s="5"/>
      <c r="J893" s="105"/>
      <c r="K893" s="5"/>
      <c r="L893" s="5"/>
      <c r="M893" s="5"/>
      <c r="N893" s="16"/>
      <c r="O893" s="16"/>
      <c r="P893" s="73"/>
    </row>
    <row r="894" spans="2:16">
      <c r="P894" s="73"/>
    </row>
    <row r="895" spans="2:16" s="105" customFormat="1">
      <c r="B895" s="12"/>
      <c r="C895" s="5"/>
      <c r="D895" s="5"/>
      <c r="E895" s="5"/>
      <c r="F895" s="5"/>
      <c r="G895" s="5"/>
      <c r="H895" s="24"/>
      <c r="I895" s="5"/>
      <c r="K895" s="5"/>
      <c r="L895" s="5"/>
      <c r="M895" s="5"/>
      <c r="N895" s="16"/>
      <c r="O895" s="16"/>
      <c r="P895" s="109"/>
    </row>
    <row r="896" spans="2:16" s="18" customFormat="1">
      <c r="B896" s="12"/>
      <c r="C896" s="5"/>
      <c r="D896" s="5"/>
      <c r="E896" s="5"/>
      <c r="F896" s="5"/>
      <c r="G896" s="5"/>
      <c r="H896" s="24"/>
      <c r="I896" s="5"/>
      <c r="J896" s="105"/>
      <c r="K896" s="5"/>
      <c r="L896" s="5"/>
      <c r="M896" s="5"/>
      <c r="N896" s="16"/>
      <c r="O896" s="16"/>
      <c r="P896" s="73"/>
    </row>
    <row r="897" spans="2:16" s="24" customFormat="1">
      <c r="B897" s="12"/>
      <c r="C897" s="5"/>
      <c r="D897" s="5"/>
      <c r="E897" s="5"/>
      <c r="F897" s="5"/>
      <c r="G897" s="5"/>
      <c r="I897" s="5"/>
      <c r="J897" s="105"/>
      <c r="K897" s="5"/>
      <c r="L897" s="5"/>
      <c r="M897" s="5"/>
      <c r="N897" s="16"/>
      <c r="O897" s="16"/>
      <c r="P897" s="71"/>
    </row>
    <row r="898" spans="2:16" s="24" customFormat="1">
      <c r="B898" s="12"/>
      <c r="C898" s="5"/>
      <c r="D898" s="5"/>
      <c r="E898" s="5"/>
      <c r="F898" s="5"/>
      <c r="G898" s="5"/>
      <c r="I898" s="5"/>
      <c r="J898" s="105"/>
      <c r="K898" s="5"/>
      <c r="L898" s="5"/>
      <c r="M898" s="5"/>
      <c r="N898" s="16"/>
      <c r="O898" s="16"/>
      <c r="P898" s="73"/>
    </row>
    <row r="899" spans="2:16" s="18" customFormat="1">
      <c r="B899" s="12"/>
      <c r="C899" s="5"/>
      <c r="D899" s="5"/>
      <c r="E899" s="5"/>
      <c r="F899" s="5"/>
      <c r="G899" s="5"/>
      <c r="H899" s="24"/>
      <c r="I899" s="5"/>
      <c r="J899" s="105"/>
      <c r="K899" s="5"/>
      <c r="L899" s="5"/>
      <c r="M899" s="5"/>
      <c r="N899" s="16"/>
      <c r="O899" s="16"/>
      <c r="P899" s="73"/>
    </row>
    <row r="900" spans="2:16" s="105" customFormat="1">
      <c r="B900" s="12"/>
      <c r="C900" s="5"/>
      <c r="D900" s="5"/>
      <c r="E900" s="5"/>
      <c r="F900" s="5"/>
      <c r="G900" s="5"/>
      <c r="H900" s="24"/>
      <c r="I900" s="5"/>
      <c r="K900" s="5"/>
      <c r="L900" s="5"/>
      <c r="M900" s="5"/>
      <c r="N900" s="16"/>
      <c r="O900" s="16"/>
      <c r="P900" s="109"/>
    </row>
    <row r="901" spans="2:16" s="105" customFormat="1">
      <c r="B901" s="12"/>
      <c r="C901" s="5"/>
      <c r="D901" s="5"/>
      <c r="E901" s="5"/>
      <c r="F901" s="5"/>
      <c r="G901" s="5"/>
      <c r="H901" s="24"/>
      <c r="I901" s="5"/>
      <c r="K901" s="5"/>
      <c r="L901" s="5"/>
      <c r="M901" s="5"/>
      <c r="N901" s="16"/>
      <c r="O901" s="16"/>
      <c r="P901" s="109"/>
    </row>
    <row r="902" spans="2:16" s="105" customFormat="1">
      <c r="B902" s="12"/>
      <c r="C902" s="5"/>
      <c r="D902" s="5"/>
      <c r="E902" s="5"/>
      <c r="F902" s="5"/>
      <c r="G902" s="5"/>
      <c r="H902" s="24"/>
      <c r="I902" s="5"/>
      <c r="K902" s="5"/>
      <c r="L902" s="5"/>
      <c r="M902" s="5"/>
      <c r="N902" s="16"/>
      <c r="O902" s="16"/>
      <c r="P902" s="109"/>
    </row>
    <row r="903" spans="2:16" s="105" customFormat="1">
      <c r="B903" s="12"/>
      <c r="C903" s="5"/>
      <c r="D903" s="5"/>
      <c r="E903" s="5"/>
      <c r="F903" s="5"/>
      <c r="G903" s="5"/>
      <c r="H903" s="24"/>
      <c r="I903" s="5"/>
      <c r="K903" s="5"/>
      <c r="L903" s="5"/>
      <c r="M903" s="5"/>
      <c r="N903" s="16"/>
      <c r="O903" s="16"/>
      <c r="P903" s="109"/>
    </row>
    <row r="904" spans="2:16" s="105" customFormat="1">
      <c r="B904" s="12"/>
      <c r="C904" s="5"/>
      <c r="D904" s="5"/>
      <c r="E904" s="5"/>
      <c r="F904" s="5"/>
      <c r="G904" s="5"/>
      <c r="H904" s="24"/>
      <c r="I904" s="5"/>
      <c r="K904" s="5"/>
      <c r="L904" s="5"/>
      <c r="M904" s="5"/>
      <c r="N904" s="16"/>
      <c r="O904" s="16"/>
      <c r="P904" s="109"/>
    </row>
    <row r="905" spans="2:16" s="24" customFormat="1">
      <c r="B905" s="12"/>
      <c r="C905" s="5"/>
      <c r="D905" s="5"/>
      <c r="E905" s="5"/>
      <c r="F905" s="5"/>
      <c r="G905" s="5"/>
      <c r="I905" s="5"/>
      <c r="J905" s="105"/>
      <c r="K905" s="5"/>
      <c r="L905" s="5"/>
      <c r="M905" s="5"/>
      <c r="N905" s="16"/>
      <c r="O905" s="16"/>
      <c r="P905" s="79"/>
    </row>
    <row r="906" spans="2:16" s="24" customFormat="1">
      <c r="B906" s="12"/>
      <c r="C906" s="5"/>
      <c r="D906" s="5"/>
      <c r="E906" s="5"/>
      <c r="F906" s="5"/>
      <c r="G906" s="5"/>
      <c r="I906" s="5"/>
      <c r="J906" s="105"/>
      <c r="K906" s="5"/>
      <c r="L906" s="5"/>
      <c r="M906" s="5"/>
      <c r="N906" s="16"/>
      <c r="O906" s="16"/>
      <c r="P906" s="20"/>
    </row>
    <row r="907" spans="2:16" s="105" customFormat="1">
      <c r="B907" s="12"/>
      <c r="C907" s="5"/>
      <c r="D907" s="5"/>
      <c r="E907" s="5"/>
      <c r="F907" s="5"/>
      <c r="G907" s="5"/>
      <c r="H907" s="24"/>
      <c r="I907" s="5"/>
      <c r="K907" s="5"/>
      <c r="L907" s="5"/>
      <c r="M907" s="5"/>
      <c r="N907" s="16"/>
      <c r="O907" s="16"/>
      <c r="P907" s="20"/>
    </row>
    <row r="908" spans="2:16" s="105" customFormat="1">
      <c r="B908" s="12"/>
      <c r="C908" s="5"/>
      <c r="D908" s="5"/>
      <c r="E908" s="5"/>
      <c r="F908" s="5"/>
      <c r="G908" s="5"/>
      <c r="H908" s="24"/>
      <c r="I908" s="5"/>
      <c r="K908" s="5"/>
      <c r="L908" s="5"/>
      <c r="M908" s="5"/>
      <c r="N908" s="16"/>
      <c r="O908" s="16"/>
      <c r="P908" s="20"/>
    </row>
    <row r="909" spans="2:16" s="105" customFormat="1">
      <c r="B909" s="12"/>
      <c r="C909" s="5"/>
      <c r="D909" s="5"/>
      <c r="E909" s="5"/>
      <c r="F909" s="5"/>
      <c r="G909" s="5"/>
      <c r="H909" s="24"/>
      <c r="I909" s="5"/>
      <c r="K909" s="5"/>
      <c r="L909" s="5"/>
      <c r="M909" s="5"/>
      <c r="N909" s="16"/>
      <c r="O909" s="16"/>
      <c r="P909" s="20"/>
    </row>
    <row r="910" spans="2:16" s="105" customFormat="1">
      <c r="B910" s="12"/>
      <c r="C910" s="5"/>
      <c r="D910" s="5"/>
      <c r="E910" s="5"/>
      <c r="F910" s="5"/>
      <c r="G910" s="5"/>
      <c r="H910" s="24"/>
      <c r="I910" s="5"/>
      <c r="K910" s="5"/>
      <c r="L910" s="5"/>
      <c r="M910" s="5"/>
      <c r="N910" s="16"/>
      <c r="O910" s="16"/>
      <c r="P910" s="20"/>
    </row>
    <row r="911" spans="2:16">
      <c r="P911" s="20"/>
    </row>
  </sheetData>
  <mergeCells count="21">
    <mergeCell ref="C710:G710"/>
    <mergeCell ref="H710:O710"/>
    <mergeCell ref="B711:O711"/>
    <mergeCell ref="C704:G704"/>
    <mergeCell ref="H704:O704"/>
    <mergeCell ref="C705:G705"/>
    <mergeCell ref="H705:O705"/>
    <mergeCell ref="C706:G706"/>
    <mergeCell ref="H706:O706"/>
    <mergeCell ref="C707:G707"/>
    <mergeCell ref="C709:G709"/>
    <mergeCell ref="C708:G708"/>
    <mergeCell ref="H707:O707"/>
    <mergeCell ref="H708:O708"/>
    <mergeCell ref="H709:O709"/>
    <mergeCell ref="B4:O4"/>
    <mergeCell ref="D5:K5"/>
    <mergeCell ref="D6:K6"/>
    <mergeCell ref="B702:O702"/>
    <mergeCell ref="C703:G703"/>
    <mergeCell ref="H703:O703"/>
  </mergeCells>
  <conditionalFormatting sqref="E14">
    <cfRule type="expression" dxfId="2" priority="3">
      <formula>"e13&gt;e$9"</formula>
    </cfRule>
    <cfRule type="cellIs" dxfId="1" priority="4" operator="greaterThan">
      <formula>"e9"</formula>
    </cfRule>
    <cfRule type="cellIs" dxfId="0" priority="5" operator="greaterThan">
      <formula>"e9"</formula>
    </cfRule>
  </conditionalFormatting>
  <printOptions horizontalCentered="1"/>
  <pageMargins left="0.39370078740157483" right="0.39370078740157483" top="0.39370078740157483" bottom="0.39370078740157483" header="0" footer="0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2022-03-14T04:31:18Z</dcterms:modified>
</cp:coreProperties>
</file>